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UDGET UNIT\Estimates\2016-19\"/>
    </mc:Choice>
  </mc:AlternateContent>
  <bookViews>
    <workbookView xWindow="0" yWindow="0" windowWidth="28800" windowHeight="14100"/>
  </bookViews>
  <sheets>
    <sheet name="Summary" sheetId="1" r:id="rId1"/>
    <sheet name="05" sheetId="2" r:id="rId2"/>
    <sheet name="07" sheetId="3" r:id="rId3"/>
    <sheet name="08" sheetId="4" r:id="rId4"/>
    <sheet name="09" sheetId="5" r:id="rId5"/>
    <sheet name="10" sheetId="6" r:id="rId6"/>
    <sheet name="11" sheetId="7" r:id="rId7"/>
    <sheet name="12" sheetId="8" r:id="rId8"/>
    <sheet name="13" sheetId="9" r:id="rId9"/>
    <sheet name="15" sheetId="10" r:id="rId10"/>
    <sheet name="17" sheetId="11" r:id="rId11"/>
    <sheet name="20" sheetId="12" r:id="rId12"/>
    <sheet name="30" sheetId="13" r:id="rId13"/>
    <sheet name="35" sheetId="14" r:id="rId14"/>
    <sheet name="40" sheetId="15" r:id="rId15"/>
    <sheet name="45" sheetId="16" r:id="rId16"/>
    <sheet name="Scales" sheetId="17" r:id="rId17"/>
    <sheet name="Chart of Accounts" sheetId="18" r:id="rId18"/>
    <sheet name="Establishment" sheetId="19" r:id="rId19"/>
    <sheet name="Appr Schdl" sheetId="20" r:id="rId20"/>
    <sheet name="Annex 1" sheetId="21" r:id="rId21"/>
    <sheet name="MTFF" sheetId="22" r:id="rId22"/>
    <sheet name="COFOG" sheetId="23" r:id="rId23"/>
  </sheets>
  <externalReferences>
    <externalReference r:id="rId24"/>
    <externalReference r:id="rId25"/>
    <externalReference r:id="rId26"/>
  </externalReferences>
  <definedNames>
    <definedName name="_2INLAND_REV" localSheetId="6">[1]Recurrent!#REF!</definedName>
    <definedName name="_2INLAND_REV" localSheetId="10">[1]Recurrent!#REF!</definedName>
    <definedName name="_2INLAND_REV">[1]Recurrent!#REF!</definedName>
    <definedName name="_3POST_OFFICE" localSheetId="6">[1]Recurrent!#REF!</definedName>
    <definedName name="_3POST_OFFICE" localSheetId="10">[1]Recurrent!#REF!</definedName>
    <definedName name="_3POST_OFFICE">[1]Recurrent!#REF!</definedName>
    <definedName name="_xlnm._FilterDatabase" localSheetId="22" hidden="1">COFOG!$A$39:$J$97</definedName>
    <definedName name="ADMIN" localSheetId="6">[1]Recurrent!#REF!</definedName>
    <definedName name="ADMIN">[1]Recurrent!#REF!</definedName>
    <definedName name="CUSTOMS" localSheetId="6">[1]Recurrent!#REF!</definedName>
    <definedName name="CUSTOMS">[1]Recurrent!#REF!</definedName>
    <definedName name="DEFICIT" localSheetId="6">[1]Recurrent!#REF!</definedName>
    <definedName name="DEFICIT">[1]Recurrent!#REF!</definedName>
    <definedName name="EOC" localSheetId="6">[1]Recurrent!#REF!</definedName>
    <definedName name="EOC">[1]Recurrent!#REF!</definedName>
    <definedName name="FCAU">'05'!$A$217:$J$230</definedName>
    <definedName name="FIRE">'05'!$A$64:$J$77</definedName>
    <definedName name="GOVERNOR" localSheetId="6">[1]Recurrent!#REF!</definedName>
    <definedName name="GOVERNOR">[1]Recurrent!#REF!</definedName>
    <definedName name="Police">'05'!$A$135:$J$157</definedName>
    <definedName name="_xlnm.Print_Area" localSheetId="1">'05'!$A$1:$J$348</definedName>
    <definedName name="_xlnm.Print_Area" localSheetId="2">'07'!$A$1:$J$188</definedName>
    <definedName name="_xlnm.Print_Area" localSheetId="3">'08'!$A$1:$J$178</definedName>
    <definedName name="_xlnm.Print_Area" localSheetId="4">'09'!$A$1:$J$189</definedName>
    <definedName name="_xlnm.Print_Area" localSheetId="5">'10'!$A$1:$J$396</definedName>
    <definedName name="_xlnm.Print_Area" localSheetId="6">'11'!$A$1:$J$184</definedName>
    <definedName name="_xlnm.Print_Area" localSheetId="8">'13'!$A$1:$J$188</definedName>
    <definedName name="_xlnm.Print_Area" localSheetId="9">'15'!$A$1:$J$495</definedName>
    <definedName name="_xlnm.Print_Area" localSheetId="10">'17'!$A$1:$J$400</definedName>
    <definedName name="_xlnm.Print_Area" localSheetId="11">'20'!$A$1:$J$727</definedName>
    <definedName name="_xlnm.Print_Area" localSheetId="12">'30'!$A$1:$J$686</definedName>
    <definedName name="_xlnm.Print_Area" localSheetId="13">'35'!$A$1:$J$524</definedName>
    <definedName name="_xlnm.Print_Area" localSheetId="14">'40'!$A$1:$J$566</definedName>
    <definedName name="_xlnm.Print_Area" localSheetId="15">'45'!$A$1:$J$532</definedName>
    <definedName name="_xlnm.Print_Area" localSheetId="19">'Appr Schdl'!$A$1:$E$44</definedName>
    <definedName name="_xlnm.Print_Area" localSheetId="17">'Chart of Accounts'!$A$1:$D$189</definedName>
    <definedName name="_xlnm.Print_Area" localSheetId="22">COFOG!$C$1:$K$29</definedName>
    <definedName name="_xlnm.Print_Area" localSheetId="18">Establishment!$B$1:$E$671</definedName>
    <definedName name="_xlnm.Print_Area" localSheetId="16">Scales!$A$1:$O$63</definedName>
    <definedName name="_xlnm.Print_Area" localSheetId="0">Summary!$B$2:$L$563</definedName>
    <definedName name="_xlnm.Print_Titles" localSheetId="18">Establishment!$1:$1</definedName>
    <definedName name="_xlnm.Print_Titles">#N/A</definedName>
    <definedName name="q" localSheetId="6">#REF!</definedName>
    <definedName name="q">#REF!</definedName>
    <definedName name="sa">#REF!</definedName>
    <definedName name="sca">#REF!</definedName>
    <definedName name="SCALE">#REF!</definedName>
    <definedName name="scale2" localSheetId="10">[3]Scales!$B$70:$D$326</definedName>
    <definedName name="scale2">Scales!$B$70:$D$326</definedName>
    <definedName name="TREASURY" localSheetId="6">[1]Recurrent!#REF!</definedName>
    <definedName name="TREASURY">[1]Recurrent!#REF!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22" l="1"/>
  <c r="B33" i="22"/>
  <c r="B27" i="22"/>
  <c r="E19" i="22"/>
  <c r="D19" i="22"/>
  <c r="B19" i="22"/>
  <c r="C17" i="22"/>
  <c r="C16" i="22"/>
  <c r="C19" i="22" s="1"/>
  <c r="E15" i="22"/>
  <c r="D15" i="22"/>
  <c r="D20" i="22" s="1"/>
  <c r="E13" i="22"/>
  <c r="D13" i="22"/>
  <c r="C13" i="22"/>
  <c r="E12" i="22"/>
  <c r="D12" i="22"/>
  <c r="C12" i="22"/>
  <c r="C15" i="22" s="1"/>
  <c r="C20" i="22" s="1"/>
  <c r="C701" i="19"/>
  <c r="C690" i="19"/>
  <c r="C687" i="19"/>
  <c r="C675" i="19"/>
  <c r="C672" i="19"/>
  <c r="C626" i="19"/>
  <c r="C621" i="19"/>
  <c r="C598" i="19"/>
  <c r="C587" i="19"/>
  <c r="C576" i="19"/>
  <c r="C566" i="19"/>
  <c r="C559" i="19"/>
  <c r="C551" i="19"/>
  <c r="C532" i="19"/>
  <c r="C528" i="19"/>
  <c r="C514" i="19"/>
  <c r="C498" i="19"/>
  <c r="C490" i="19"/>
  <c r="C474" i="19"/>
  <c r="C453" i="19"/>
  <c r="C424" i="19"/>
  <c r="C407" i="19"/>
  <c r="C400" i="19"/>
  <c r="C391" i="19"/>
  <c r="C378" i="19"/>
  <c r="C363" i="19"/>
  <c r="C348" i="19"/>
  <c r="C345" i="19"/>
  <c r="C320" i="19"/>
  <c r="C304" i="19"/>
  <c r="C298" i="19"/>
  <c r="C289" i="19"/>
  <c r="C262" i="19"/>
  <c r="C251" i="19"/>
  <c r="C241" i="19"/>
  <c r="C229" i="19"/>
  <c r="C216" i="19"/>
  <c r="C201" i="19"/>
  <c r="C194" i="19"/>
  <c r="C189" i="19"/>
  <c r="C185" i="19"/>
  <c r="C170" i="19"/>
  <c r="C154" i="19"/>
  <c r="C146" i="19"/>
  <c r="C140" i="19"/>
  <c r="C134" i="19"/>
  <c r="C122" i="19"/>
  <c r="C112" i="19"/>
  <c r="C101" i="19"/>
  <c r="C97" i="19"/>
  <c r="C82" i="19"/>
  <c r="C71" i="19"/>
  <c r="C65" i="19"/>
  <c r="C56" i="19"/>
  <c r="C45" i="19"/>
  <c r="C39" i="19"/>
  <c r="C24" i="19"/>
  <c r="C19" i="19"/>
  <c r="C7" i="19"/>
  <c r="G1" i="19" s="1"/>
  <c r="H121" i="17"/>
  <c r="I122" i="17" s="1"/>
  <c r="H120" i="17"/>
  <c r="I121" i="17" s="1"/>
  <c r="H116" i="17"/>
  <c r="I117" i="17" s="1"/>
  <c r="I115" i="17"/>
  <c r="H113" i="17"/>
  <c r="I114" i="17" s="1"/>
  <c r="I112" i="17"/>
  <c r="H112" i="17"/>
  <c r="I113" i="17" s="1"/>
  <c r="H109" i="17"/>
  <c r="I110" i="17" s="1"/>
  <c r="H108" i="17"/>
  <c r="I109" i="17" s="1"/>
  <c r="H104" i="17"/>
  <c r="H100" i="17"/>
  <c r="I101" i="17" s="1"/>
  <c r="H97" i="17"/>
  <c r="I98" i="17" s="1"/>
  <c r="H96" i="17"/>
  <c r="I97" i="17" s="1"/>
  <c r="H92" i="17"/>
  <c r="I91" i="17"/>
  <c r="H89" i="17"/>
  <c r="H88" i="17"/>
  <c r="I89" i="17" s="1"/>
  <c r="H84" i="17"/>
  <c r="I80" i="17"/>
  <c r="H80" i="17"/>
  <c r="I79" i="17"/>
  <c r="H77" i="17"/>
  <c r="I78" i="17" s="1"/>
  <c r="H76" i="17"/>
  <c r="I77" i="17" s="1"/>
  <c r="J66" i="17"/>
  <c r="I66" i="17"/>
  <c r="G66" i="17"/>
  <c r="D66" i="17"/>
  <c r="B66" i="17"/>
  <c r="D65" i="17"/>
  <c r="B65" i="17"/>
  <c r="J64" i="17"/>
  <c r="G64" i="17"/>
  <c r="I64" i="17" s="1"/>
  <c r="D64" i="17"/>
  <c r="B64" i="17"/>
  <c r="I63" i="17"/>
  <c r="G63" i="17"/>
  <c r="J63" i="17" s="1"/>
  <c r="D63" i="17"/>
  <c r="B63" i="17"/>
  <c r="D62" i="17"/>
  <c r="B62" i="17"/>
  <c r="D61" i="17"/>
  <c r="G61" i="17" s="1"/>
  <c r="I61" i="17" s="1"/>
  <c r="B61" i="17"/>
  <c r="D60" i="17"/>
  <c r="G60" i="17" s="1"/>
  <c r="B60" i="17"/>
  <c r="D59" i="17"/>
  <c r="G59" i="17" s="1"/>
  <c r="B59" i="17"/>
  <c r="I58" i="17"/>
  <c r="G58" i="17"/>
  <c r="J58" i="17" s="1"/>
  <c r="D58" i="17"/>
  <c r="B58" i="17"/>
  <c r="D57" i="17"/>
  <c r="B57" i="17"/>
  <c r="L54" i="17"/>
  <c r="J54" i="17"/>
  <c r="H54" i="17"/>
  <c r="D54" i="17"/>
  <c r="B54" i="17"/>
  <c r="H123" i="17" s="1"/>
  <c r="J53" i="17"/>
  <c r="H53" i="17"/>
  <c r="B53" i="17"/>
  <c r="H122" i="17" s="1"/>
  <c r="I123" i="17" s="1"/>
  <c r="J52" i="17"/>
  <c r="H52" i="17"/>
  <c r="B52" i="17"/>
  <c r="J51" i="17"/>
  <c r="H51" i="17"/>
  <c r="B51" i="17"/>
  <c r="J50" i="17"/>
  <c r="H50" i="17"/>
  <c r="B50" i="17"/>
  <c r="H119" i="17" s="1"/>
  <c r="I120" i="17" s="1"/>
  <c r="L49" i="17"/>
  <c r="J49" i="17"/>
  <c r="H49" i="17"/>
  <c r="D49" i="17"/>
  <c r="B49" i="17"/>
  <c r="H118" i="17" s="1"/>
  <c r="J48" i="17"/>
  <c r="H48" i="17"/>
  <c r="B48" i="17"/>
  <c r="H117" i="17" s="1"/>
  <c r="I118" i="17" s="1"/>
  <c r="J47" i="17"/>
  <c r="H47" i="17"/>
  <c r="B47" i="17"/>
  <c r="J46" i="17"/>
  <c r="H46" i="17"/>
  <c r="B46" i="17"/>
  <c r="H115" i="17" s="1"/>
  <c r="J45" i="17"/>
  <c r="H45" i="17"/>
  <c r="B45" i="17"/>
  <c r="H114" i="17" s="1"/>
  <c r="J44" i="17"/>
  <c r="H44" i="17"/>
  <c r="B44" i="17"/>
  <c r="L43" i="17"/>
  <c r="J43" i="17"/>
  <c r="H43" i="17"/>
  <c r="D43" i="17"/>
  <c r="B43" i="17"/>
  <c r="J42" i="17"/>
  <c r="H42" i="17"/>
  <c r="B42" i="17"/>
  <c r="H111" i="17" s="1"/>
  <c r="J41" i="17"/>
  <c r="H41" i="17"/>
  <c r="B41" i="17"/>
  <c r="H110" i="17" s="1"/>
  <c r="I111" i="17" s="1"/>
  <c r="J40" i="17"/>
  <c r="H40" i="17"/>
  <c r="B40" i="17"/>
  <c r="J39" i="17"/>
  <c r="H39" i="17"/>
  <c r="B39" i="17"/>
  <c r="J38" i="17"/>
  <c r="H38" i="17"/>
  <c r="B38" i="17"/>
  <c r="H107" i="17" s="1"/>
  <c r="I108" i="17" s="1"/>
  <c r="L37" i="17"/>
  <c r="J37" i="17"/>
  <c r="H37" i="17"/>
  <c r="D37" i="17"/>
  <c r="B37" i="17"/>
  <c r="H106" i="17" s="1"/>
  <c r="I107" i="17" s="1"/>
  <c r="J36" i="17"/>
  <c r="H36" i="17"/>
  <c r="B36" i="17"/>
  <c r="H105" i="17" s="1"/>
  <c r="I106" i="17" s="1"/>
  <c r="J35" i="17"/>
  <c r="H35" i="17"/>
  <c r="B35" i="17"/>
  <c r="J34" i="17"/>
  <c r="H34" i="17"/>
  <c r="B34" i="17"/>
  <c r="H103" i="17" s="1"/>
  <c r="J33" i="17"/>
  <c r="H33" i="17"/>
  <c r="B33" i="17"/>
  <c r="H102" i="17" s="1"/>
  <c r="I103" i="17" s="1"/>
  <c r="L32" i="17"/>
  <c r="J32" i="17"/>
  <c r="H32" i="17"/>
  <c r="D32" i="17"/>
  <c r="B32" i="17"/>
  <c r="H101" i="17" s="1"/>
  <c r="I102" i="17" s="1"/>
  <c r="J31" i="17"/>
  <c r="H31" i="17"/>
  <c r="B31" i="17"/>
  <c r="J30" i="17"/>
  <c r="H30" i="17"/>
  <c r="B30" i="17"/>
  <c r="H99" i="17" s="1"/>
  <c r="I100" i="17" s="1"/>
  <c r="J29" i="17"/>
  <c r="H29" i="17"/>
  <c r="B29" i="17"/>
  <c r="H98" i="17" s="1"/>
  <c r="I99" i="17" s="1"/>
  <c r="J28" i="17"/>
  <c r="H28" i="17"/>
  <c r="B28" i="17"/>
  <c r="J27" i="17"/>
  <c r="H27" i="17"/>
  <c r="B27" i="17"/>
  <c r="J26" i="17"/>
  <c r="H26" i="17"/>
  <c r="B26" i="17"/>
  <c r="H95" i="17" s="1"/>
  <c r="I96" i="17" s="1"/>
  <c r="L25" i="17"/>
  <c r="J25" i="17"/>
  <c r="H25" i="17"/>
  <c r="D25" i="17"/>
  <c r="B25" i="17"/>
  <c r="H94" i="17" s="1"/>
  <c r="I95" i="17" s="1"/>
  <c r="J24" i="17"/>
  <c r="H24" i="17"/>
  <c r="B24" i="17"/>
  <c r="H93" i="17" s="1"/>
  <c r="I94" i="17" s="1"/>
  <c r="J23" i="17"/>
  <c r="H23" i="17"/>
  <c r="B23" i="17"/>
  <c r="J22" i="17"/>
  <c r="H22" i="17"/>
  <c r="B22" i="17"/>
  <c r="H91" i="17" s="1"/>
  <c r="I92" i="17" s="1"/>
  <c r="J21" i="17"/>
  <c r="H21" i="17"/>
  <c r="B21" i="17"/>
  <c r="H90" i="17" s="1"/>
  <c r="J20" i="17"/>
  <c r="H20" i="17"/>
  <c r="B20" i="17"/>
  <c r="J19" i="17"/>
  <c r="H19" i="17"/>
  <c r="B19" i="17"/>
  <c r="J18" i="17"/>
  <c r="H18" i="17"/>
  <c r="B18" i="17"/>
  <c r="H87" i="17" s="1"/>
  <c r="I88" i="17" s="1"/>
  <c r="J17" i="17"/>
  <c r="H17" i="17"/>
  <c r="B17" i="17"/>
  <c r="H86" i="17" s="1"/>
  <c r="I87" i="17" s="1"/>
  <c r="J16" i="17"/>
  <c r="H16" i="17"/>
  <c r="B16" i="17"/>
  <c r="H85" i="17" s="1"/>
  <c r="I86" i="17" s="1"/>
  <c r="L15" i="17"/>
  <c r="J15" i="17"/>
  <c r="H15" i="17"/>
  <c r="D15" i="17"/>
  <c r="B15" i="17"/>
  <c r="J14" i="17"/>
  <c r="H14" i="17"/>
  <c r="B14" i="17"/>
  <c r="H83" i="17" s="1"/>
  <c r="I84" i="17" s="1"/>
  <c r="J13" i="17"/>
  <c r="H13" i="17"/>
  <c r="B13" i="17"/>
  <c r="H82" i="17" s="1"/>
  <c r="J12" i="17"/>
  <c r="H12" i="17"/>
  <c r="B12" i="17"/>
  <c r="H81" i="17" s="1"/>
  <c r="J11" i="17"/>
  <c r="H11" i="17"/>
  <c r="B11" i="17"/>
  <c r="J10" i="17"/>
  <c r="H10" i="17"/>
  <c r="B10" i="17"/>
  <c r="H79" i="17" s="1"/>
  <c r="J9" i="17"/>
  <c r="H9" i="17"/>
  <c r="B9" i="17"/>
  <c r="H78" i="17" s="1"/>
  <c r="J8" i="17"/>
  <c r="H8" i="17"/>
  <c r="B8" i="17"/>
  <c r="J7" i="17"/>
  <c r="H7" i="17"/>
  <c r="B7" i="17"/>
  <c r="J6" i="17"/>
  <c r="H6" i="17"/>
  <c r="B6" i="17"/>
  <c r="H75" i="17" s="1"/>
  <c r="I76" i="17" s="1"/>
  <c r="J5" i="17"/>
  <c r="H5" i="17"/>
  <c r="B5" i="17"/>
  <c r="H74" i="17" s="1"/>
  <c r="J4" i="17"/>
  <c r="H4" i="17"/>
  <c r="B4" i="17"/>
  <c r="H73" i="17" s="1"/>
  <c r="G522" i="16"/>
  <c r="E515" i="16"/>
  <c r="G492" i="16"/>
  <c r="J485" i="16"/>
  <c r="I485" i="16"/>
  <c r="H485" i="16"/>
  <c r="G485" i="16"/>
  <c r="F485" i="16"/>
  <c r="E485" i="16"/>
  <c r="E484" i="16"/>
  <c r="J483" i="16"/>
  <c r="I483" i="16"/>
  <c r="H483" i="16"/>
  <c r="G483" i="16"/>
  <c r="F483" i="16"/>
  <c r="E483" i="16"/>
  <c r="J482" i="16"/>
  <c r="I482" i="16"/>
  <c r="H482" i="16"/>
  <c r="G482" i="16"/>
  <c r="F482" i="16"/>
  <c r="E482" i="16"/>
  <c r="J478" i="16"/>
  <c r="H478" i="16"/>
  <c r="G477" i="16"/>
  <c r="J476" i="16"/>
  <c r="G476" i="16"/>
  <c r="H475" i="16"/>
  <c r="E475" i="16"/>
  <c r="F474" i="16"/>
  <c r="G472" i="16"/>
  <c r="G46" i="16" s="1"/>
  <c r="J471" i="16"/>
  <c r="G471" i="16"/>
  <c r="F471" i="16"/>
  <c r="E471" i="16"/>
  <c r="G470" i="16"/>
  <c r="F470" i="16"/>
  <c r="E470" i="16"/>
  <c r="I469" i="16"/>
  <c r="G469" i="16"/>
  <c r="F469" i="16"/>
  <c r="E469" i="16"/>
  <c r="G468" i="16"/>
  <c r="F468" i="16"/>
  <c r="E468" i="16"/>
  <c r="J467" i="16"/>
  <c r="G467" i="16"/>
  <c r="F467" i="16"/>
  <c r="F472" i="16" s="1"/>
  <c r="E467" i="16"/>
  <c r="G464" i="16"/>
  <c r="F464" i="16"/>
  <c r="E464" i="16"/>
  <c r="I463" i="16"/>
  <c r="G463" i="16"/>
  <c r="F463" i="16"/>
  <c r="E463" i="16"/>
  <c r="G462" i="16"/>
  <c r="F462" i="16"/>
  <c r="E462" i="16"/>
  <c r="G461" i="16"/>
  <c r="F461" i="16"/>
  <c r="E461" i="16"/>
  <c r="E465" i="16" s="1"/>
  <c r="E45" i="16" s="1"/>
  <c r="G460" i="16"/>
  <c r="G465" i="16" s="1"/>
  <c r="F460" i="16"/>
  <c r="E460" i="16"/>
  <c r="G458" i="16"/>
  <c r="G44" i="16" s="1"/>
  <c r="J457" i="16"/>
  <c r="G457" i="16"/>
  <c r="F457" i="16"/>
  <c r="E457" i="16"/>
  <c r="H456" i="16"/>
  <c r="G456" i="16"/>
  <c r="F456" i="16"/>
  <c r="E456" i="16"/>
  <c r="I455" i="16"/>
  <c r="G455" i="16"/>
  <c r="F455" i="16"/>
  <c r="E455" i="16"/>
  <c r="I454" i="16"/>
  <c r="G454" i="16"/>
  <c r="F454" i="16"/>
  <c r="E454" i="16"/>
  <c r="J453" i="16"/>
  <c r="G453" i="16"/>
  <c r="F453" i="16"/>
  <c r="F458" i="16" s="1"/>
  <c r="E453" i="16"/>
  <c r="E458" i="16" s="1"/>
  <c r="I450" i="16"/>
  <c r="G450" i="16"/>
  <c r="F450" i="16"/>
  <c r="E450" i="16"/>
  <c r="G449" i="16"/>
  <c r="F449" i="16"/>
  <c r="E449" i="16"/>
  <c r="G448" i="16"/>
  <c r="F448" i="16"/>
  <c r="E448" i="16"/>
  <c r="H447" i="16"/>
  <c r="G447" i="16"/>
  <c r="F447" i="16"/>
  <c r="E447" i="16"/>
  <c r="E451" i="16" s="1"/>
  <c r="E43" i="16" s="1"/>
  <c r="G446" i="16"/>
  <c r="F446" i="16"/>
  <c r="F451" i="16" s="1"/>
  <c r="E446" i="16"/>
  <c r="J431" i="16"/>
  <c r="I431" i="16"/>
  <c r="H431" i="16"/>
  <c r="G431" i="16"/>
  <c r="F431" i="16"/>
  <c r="E416" i="16"/>
  <c r="D416" i="16"/>
  <c r="A416" i="16"/>
  <c r="J415" i="16"/>
  <c r="I415" i="16"/>
  <c r="F415" i="16"/>
  <c r="E415" i="16"/>
  <c r="D415" i="16"/>
  <c r="A415" i="16"/>
  <c r="J414" i="16"/>
  <c r="I414" i="16"/>
  <c r="F414" i="16"/>
  <c r="E414" i="16"/>
  <c r="D414" i="16"/>
  <c r="A414" i="16"/>
  <c r="J413" i="16"/>
  <c r="I413" i="16"/>
  <c r="F413" i="16"/>
  <c r="E413" i="16"/>
  <c r="J417" i="16" s="1"/>
  <c r="D413" i="16"/>
  <c r="A413" i="16"/>
  <c r="G402" i="16"/>
  <c r="J401" i="16"/>
  <c r="I401" i="16"/>
  <c r="I478" i="16" s="1"/>
  <c r="H401" i="16"/>
  <c r="G401" i="16"/>
  <c r="G478" i="16" s="1"/>
  <c r="E401" i="16"/>
  <c r="E478" i="16" s="1"/>
  <c r="F400" i="16"/>
  <c r="F401" i="16" s="1"/>
  <c r="H393" i="16"/>
  <c r="H402" i="16" s="1"/>
  <c r="H38" i="16" s="1"/>
  <c r="G393" i="16"/>
  <c r="F393" i="16"/>
  <c r="E393" i="16"/>
  <c r="E402" i="16" s="1"/>
  <c r="I471" i="16"/>
  <c r="H471" i="16"/>
  <c r="J464" i="16"/>
  <c r="I464" i="16"/>
  <c r="H464" i="16"/>
  <c r="I457" i="16"/>
  <c r="H457" i="16"/>
  <c r="H450" i="16"/>
  <c r="J384" i="16"/>
  <c r="I384" i="16"/>
  <c r="H384" i="16"/>
  <c r="G384" i="16"/>
  <c r="F384" i="16"/>
  <c r="E384" i="16"/>
  <c r="E30" i="16" s="1"/>
  <c r="J362" i="16"/>
  <c r="I362" i="16"/>
  <c r="H362" i="16"/>
  <c r="G362" i="16"/>
  <c r="F362" i="16"/>
  <c r="E347" i="16"/>
  <c r="D347" i="16"/>
  <c r="A347" i="16"/>
  <c r="J346" i="16"/>
  <c r="I346" i="16"/>
  <c r="F346" i="16"/>
  <c r="E346" i="16"/>
  <c r="D346" i="16"/>
  <c r="A346" i="16"/>
  <c r="J345" i="16"/>
  <c r="I345" i="16"/>
  <c r="F345" i="16"/>
  <c r="E345" i="16"/>
  <c r="D345" i="16"/>
  <c r="A345" i="16"/>
  <c r="J344" i="16"/>
  <c r="I344" i="16"/>
  <c r="F344" i="16"/>
  <c r="E344" i="16"/>
  <c r="J348" i="16" s="1"/>
  <c r="D344" i="16"/>
  <c r="A344" i="16"/>
  <c r="J343" i="16"/>
  <c r="I343" i="16"/>
  <c r="F343" i="16"/>
  <c r="E343" i="16"/>
  <c r="D343" i="16"/>
  <c r="A343" i="16"/>
  <c r="J339" i="16"/>
  <c r="J484" i="16" s="1"/>
  <c r="I339" i="16"/>
  <c r="I484" i="16" s="1"/>
  <c r="H339" i="16"/>
  <c r="H484" i="16" s="1"/>
  <c r="G339" i="16"/>
  <c r="G484" i="16" s="1"/>
  <c r="F339" i="16"/>
  <c r="F484" i="16" s="1"/>
  <c r="E339" i="16"/>
  <c r="G332" i="16"/>
  <c r="F332" i="16"/>
  <c r="E332" i="16"/>
  <c r="E477" i="16" s="1"/>
  <c r="J330" i="16"/>
  <c r="I330" i="16"/>
  <c r="H330" i="16"/>
  <c r="J329" i="16"/>
  <c r="I329" i="16"/>
  <c r="H329" i="16"/>
  <c r="J326" i="16"/>
  <c r="J332" i="16" s="1"/>
  <c r="J477" i="16" s="1"/>
  <c r="I326" i="16"/>
  <c r="H326" i="16"/>
  <c r="J324" i="16"/>
  <c r="I324" i="16"/>
  <c r="H324" i="16"/>
  <c r="J321" i="16"/>
  <c r="I321" i="16"/>
  <c r="H321" i="16"/>
  <c r="J320" i="16"/>
  <c r="I320" i="16"/>
  <c r="H320" i="16"/>
  <c r="J319" i="16"/>
  <c r="I319" i="16"/>
  <c r="H319" i="16"/>
  <c r="J318" i="16"/>
  <c r="I318" i="16"/>
  <c r="I332" i="16" s="1"/>
  <c r="I477" i="16" s="1"/>
  <c r="H318" i="16"/>
  <c r="J317" i="16"/>
  <c r="I317" i="16"/>
  <c r="H317" i="16"/>
  <c r="G315" i="16"/>
  <c r="G333" i="16" s="1"/>
  <c r="F315" i="16"/>
  <c r="E315" i="16"/>
  <c r="E333" i="16" s="1"/>
  <c r="J470" i="16"/>
  <c r="I470" i="16"/>
  <c r="H470" i="16"/>
  <c r="J463" i="16"/>
  <c r="H463" i="16"/>
  <c r="J456" i="16"/>
  <c r="I456" i="16"/>
  <c r="J449" i="16"/>
  <c r="I449" i="16"/>
  <c r="J306" i="16"/>
  <c r="I306" i="16"/>
  <c r="H306" i="16"/>
  <c r="G306" i="16"/>
  <c r="F306" i="16"/>
  <c r="E306" i="16"/>
  <c r="E305" i="16"/>
  <c r="J287" i="16"/>
  <c r="I287" i="16"/>
  <c r="H287" i="16"/>
  <c r="G287" i="16"/>
  <c r="F287" i="16"/>
  <c r="E273" i="16"/>
  <c r="D273" i="16"/>
  <c r="A273" i="16"/>
  <c r="J272" i="16"/>
  <c r="I272" i="16"/>
  <c r="F272" i="16"/>
  <c r="E272" i="16"/>
  <c r="D272" i="16"/>
  <c r="A272" i="16"/>
  <c r="J271" i="16"/>
  <c r="I271" i="16"/>
  <c r="F271" i="16"/>
  <c r="E271" i="16"/>
  <c r="D271" i="16"/>
  <c r="A271" i="16"/>
  <c r="J270" i="16"/>
  <c r="I270" i="16"/>
  <c r="F270" i="16"/>
  <c r="E270" i="16"/>
  <c r="D270" i="16"/>
  <c r="A270" i="16"/>
  <c r="J269" i="16"/>
  <c r="I269" i="16"/>
  <c r="F269" i="16"/>
  <c r="E269" i="16"/>
  <c r="D269" i="16"/>
  <c r="A269" i="16"/>
  <c r="J268" i="16"/>
  <c r="I268" i="16"/>
  <c r="F268" i="16"/>
  <c r="E268" i="16"/>
  <c r="D268" i="16"/>
  <c r="A268" i="16"/>
  <c r="J267" i="16"/>
  <c r="I267" i="16"/>
  <c r="F267" i="16"/>
  <c r="E267" i="16"/>
  <c r="D267" i="16"/>
  <c r="A267" i="16"/>
  <c r="J266" i="16"/>
  <c r="I266" i="16"/>
  <c r="F266" i="16"/>
  <c r="E266" i="16"/>
  <c r="D266" i="16"/>
  <c r="A266" i="16"/>
  <c r="J265" i="16"/>
  <c r="I265" i="16"/>
  <c r="F265" i="16"/>
  <c r="E265" i="16"/>
  <c r="D265" i="16"/>
  <c r="A265" i="16"/>
  <c r="J264" i="16"/>
  <c r="I264" i="16"/>
  <c r="F264" i="16"/>
  <c r="E264" i="16"/>
  <c r="D264" i="16"/>
  <c r="A264" i="16"/>
  <c r="J263" i="16"/>
  <c r="I263" i="16"/>
  <c r="F263" i="16"/>
  <c r="E263" i="16"/>
  <c r="D263" i="16"/>
  <c r="A263" i="16"/>
  <c r="J262" i="16"/>
  <c r="I262" i="16"/>
  <c r="F262" i="16"/>
  <c r="E262" i="16"/>
  <c r="D262" i="16"/>
  <c r="A262" i="16"/>
  <c r="J261" i="16"/>
  <c r="I261" i="16"/>
  <c r="F261" i="16"/>
  <c r="E261" i="16"/>
  <c r="D261" i="16"/>
  <c r="A261" i="16"/>
  <c r="J260" i="16"/>
  <c r="I260" i="16"/>
  <c r="F260" i="16"/>
  <c r="E260" i="16"/>
  <c r="D260" i="16"/>
  <c r="A260" i="16"/>
  <c r="J259" i="16"/>
  <c r="I259" i="16"/>
  <c r="F259" i="16"/>
  <c r="E259" i="16"/>
  <c r="D259" i="16"/>
  <c r="A259" i="16"/>
  <c r="J258" i="16"/>
  <c r="I258" i="16"/>
  <c r="F258" i="16"/>
  <c r="E258" i="16"/>
  <c r="D258" i="16"/>
  <c r="A258" i="16"/>
  <c r="J257" i="16"/>
  <c r="I257" i="16"/>
  <c r="F257" i="16"/>
  <c r="E257" i="16"/>
  <c r="D257" i="16"/>
  <c r="A257" i="16"/>
  <c r="J256" i="16"/>
  <c r="I256" i="16"/>
  <c r="F256" i="16"/>
  <c r="E256" i="16"/>
  <c r="D256" i="16"/>
  <c r="A256" i="16"/>
  <c r="J255" i="16"/>
  <c r="I255" i="16"/>
  <c r="F255" i="16"/>
  <c r="E255" i="16"/>
  <c r="D255" i="16"/>
  <c r="A255" i="16"/>
  <c r="J254" i="16"/>
  <c r="I254" i="16"/>
  <c r="F254" i="16"/>
  <c r="E254" i="16"/>
  <c r="D254" i="16"/>
  <c r="A254" i="16"/>
  <c r="J253" i="16"/>
  <c r="I253" i="16"/>
  <c r="F253" i="16"/>
  <c r="E253" i="16"/>
  <c r="D253" i="16"/>
  <c r="A253" i="16"/>
  <c r="J252" i="16"/>
  <c r="I252" i="16"/>
  <c r="F252" i="16"/>
  <c r="E252" i="16"/>
  <c r="D252" i="16"/>
  <c r="A252" i="16"/>
  <c r="J240" i="16"/>
  <c r="G240" i="16"/>
  <c r="F240" i="16"/>
  <c r="F476" i="16" s="1"/>
  <c r="E240" i="16"/>
  <c r="E476" i="16" s="1"/>
  <c r="E479" i="16" s="1"/>
  <c r="E47" i="16" s="1"/>
  <c r="J236" i="16"/>
  <c r="I236" i="16"/>
  <c r="I240" i="16" s="1"/>
  <c r="I476" i="16" s="1"/>
  <c r="H236" i="16"/>
  <c r="J234" i="16"/>
  <c r="I234" i="16"/>
  <c r="H234" i="16"/>
  <c r="H240" i="16" s="1"/>
  <c r="H476" i="16" s="1"/>
  <c r="I228" i="16"/>
  <c r="I241" i="16" s="1"/>
  <c r="I36" i="16" s="1"/>
  <c r="G228" i="16"/>
  <c r="G241" i="16" s="1"/>
  <c r="G36" i="16" s="1"/>
  <c r="F228" i="16"/>
  <c r="F241" i="16" s="1"/>
  <c r="E228" i="16"/>
  <c r="J469" i="16"/>
  <c r="H469" i="16"/>
  <c r="J462" i="16"/>
  <c r="I462" i="16"/>
  <c r="H462" i="16"/>
  <c r="J455" i="16"/>
  <c r="H455" i="16"/>
  <c r="I448" i="16"/>
  <c r="J219" i="16"/>
  <c r="I219" i="16"/>
  <c r="H219" i="16"/>
  <c r="G219" i="16"/>
  <c r="F219" i="16"/>
  <c r="F28" i="16" s="1"/>
  <c r="E219" i="16"/>
  <c r="J179" i="16"/>
  <c r="I179" i="16"/>
  <c r="F179" i="16"/>
  <c r="E179" i="16"/>
  <c r="D179" i="16"/>
  <c r="A179" i="16"/>
  <c r="J178" i="16"/>
  <c r="I178" i="16"/>
  <c r="F178" i="16"/>
  <c r="E178" i="16"/>
  <c r="D178" i="16"/>
  <c r="A178" i="16"/>
  <c r="J177" i="16"/>
  <c r="I177" i="16"/>
  <c r="F177" i="16"/>
  <c r="E177" i="16"/>
  <c r="D177" i="16"/>
  <c r="A177" i="16"/>
  <c r="J176" i="16"/>
  <c r="I176" i="16"/>
  <c r="F176" i="16"/>
  <c r="E176" i="16"/>
  <c r="D176" i="16"/>
  <c r="A176" i="16"/>
  <c r="J175" i="16"/>
  <c r="I175" i="16"/>
  <c r="F175" i="16"/>
  <c r="E175" i="16"/>
  <c r="D175" i="16"/>
  <c r="A175" i="16"/>
  <c r="J174" i="16"/>
  <c r="I174" i="16"/>
  <c r="F174" i="16"/>
  <c r="E174" i="16"/>
  <c r="D174" i="16"/>
  <c r="A174" i="16"/>
  <c r="J173" i="16"/>
  <c r="I173" i="16"/>
  <c r="F173" i="16"/>
  <c r="E173" i="16"/>
  <c r="D173" i="16"/>
  <c r="A173" i="16"/>
  <c r="J172" i="16"/>
  <c r="I172" i="16"/>
  <c r="F172" i="16"/>
  <c r="E172" i="16"/>
  <c r="D172" i="16"/>
  <c r="A172" i="16"/>
  <c r="J171" i="16"/>
  <c r="I171" i="16"/>
  <c r="F171" i="16"/>
  <c r="E171" i="16"/>
  <c r="D171" i="16"/>
  <c r="A171" i="16"/>
  <c r="J170" i="16"/>
  <c r="I170" i="16"/>
  <c r="F170" i="16"/>
  <c r="E170" i="16"/>
  <c r="D170" i="16"/>
  <c r="A170" i="16"/>
  <c r="J169" i="16"/>
  <c r="I169" i="16"/>
  <c r="F169" i="16"/>
  <c r="E169" i="16"/>
  <c r="J180" i="16" s="1"/>
  <c r="D169" i="16"/>
  <c r="A169" i="16"/>
  <c r="J157" i="16"/>
  <c r="J475" i="16" s="1"/>
  <c r="I157" i="16"/>
  <c r="I475" i="16" s="1"/>
  <c r="H157" i="16"/>
  <c r="G157" i="16"/>
  <c r="G475" i="16" s="1"/>
  <c r="F157" i="16"/>
  <c r="F475" i="16" s="1"/>
  <c r="E157" i="16"/>
  <c r="E158" i="16" s="1"/>
  <c r="G149" i="16"/>
  <c r="G158" i="16" s="1"/>
  <c r="G35" i="16" s="1"/>
  <c r="F149" i="16"/>
  <c r="E149" i="16"/>
  <c r="J468" i="16"/>
  <c r="I468" i="16"/>
  <c r="H468" i="16"/>
  <c r="J461" i="16"/>
  <c r="I461" i="16"/>
  <c r="H461" i="16"/>
  <c r="J454" i="16"/>
  <c r="H454" i="16"/>
  <c r="J447" i="16"/>
  <c r="J140" i="16"/>
  <c r="I140" i="16"/>
  <c r="I27" i="16" s="1"/>
  <c r="H140" i="16"/>
  <c r="G140" i="16"/>
  <c r="G27" i="16" s="1"/>
  <c r="F140" i="16"/>
  <c r="E140" i="16"/>
  <c r="J105" i="16"/>
  <c r="I105" i="16"/>
  <c r="F105" i="16"/>
  <c r="E105" i="16"/>
  <c r="D105" i="16"/>
  <c r="A105" i="16"/>
  <c r="J104" i="16"/>
  <c r="I104" i="16"/>
  <c r="F104" i="16"/>
  <c r="E104" i="16"/>
  <c r="D104" i="16"/>
  <c r="A104" i="16"/>
  <c r="G520" i="16" s="1"/>
  <c r="J103" i="16"/>
  <c r="I103" i="16"/>
  <c r="F103" i="16"/>
  <c r="E103" i="16"/>
  <c r="J106" i="16" s="1"/>
  <c r="D103" i="16"/>
  <c r="A103" i="16"/>
  <c r="J99" i="16"/>
  <c r="J481" i="16" s="1"/>
  <c r="I99" i="16"/>
  <c r="I481" i="16" s="1"/>
  <c r="I486" i="16" s="1"/>
  <c r="H99" i="16"/>
  <c r="H481" i="16" s="1"/>
  <c r="G99" i="16"/>
  <c r="G481" i="16" s="1"/>
  <c r="G486" i="16" s="1"/>
  <c r="F99" i="16"/>
  <c r="F481" i="16" s="1"/>
  <c r="F486" i="16" s="1"/>
  <c r="E99" i="16"/>
  <c r="E481" i="16" s="1"/>
  <c r="E486" i="16" s="1"/>
  <c r="F92" i="16"/>
  <c r="E92" i="16"/>
  <c r="J91" i="16"/>
  <c r="J474" i="16" s="1"/>
  <c r="I91" i="16"/>
  <c r="I474" i="16" s="1"/>
  <c r="H91" i="16"/>
  <c r="H474" i="16" s="1"/>
  <c r="G91" i="16"/>
  <c r="G474" i="16" s="1"/>
  <c r="F91" i="16"/>
  <c r="E91" i="16"/>
  <c r="E474" i="16" s="1"/>
  <c r="H85" i="16"/>
  <c r="H82" i="16"/>
  <c r="H76" i="16"/>
  <c r="H92" i="16" s="1"/>
  <c r="H34" i="16" s="1"/>
  <c r="G76" i="16"/>
  <c r="G92" i="16" s="1"/>
  <c r="F76" i="16"/>
  <c r="E76" i="16"/>
  <c r="I467" i="16"/>
  <c r="H453" i="16"/>
  <c r="J76" i="16"/>
  <c r="J92" i="16" s="1"/>
  <c r="J34" i="16" s="1"/>
  <c r="I446" i="16"/>
  <c r="J67" i="16"/>
  <c r="J26" i="16" s="1"/>
  <c r="I67" i="16"/>
  <c r="H67" i="16"/>
  <c r="G67" i="16"/>
  <c r="G26" i="16" s="1"/>
  <c r="F67" i="16"/>
  <c r="E67" i="16"/>
  <c r="J54" i="16"/>
  <c r="F54" i="16"/>
  <c r="E54" i="16"/>
  <c r="J53" i="16"/>
  <c r="I53" i="16"/>
  <c r="H53" i="16"/>
  <c r="G53" i="16"/>
  <c r="F53" i="16"/>
  <c r="E53" i="16"/>
  <c r="C53" i="16"/>
  <c r="B53" i="16"/>
  <c r="A53" i="16"/>
  <c r="J52" i="16"/>
  <c r="I52" i="16"/>
  <c r="I54" i="16" s="1"/>
  <c r="H52" i="16"/>
  <c r="G52" i="16"/>
  <c r="G54" i="16" s="1"/>
  <c r="F52" i="16"/>
  <c r="E52" i="16"/>
  <c r="C52" i="16"/>
  <c r="B52" i="16"/>
  <c r="A52" i="16"/>
  <c r="F46" i="16"/>
  <c r="G45" i="16"/>
  <c r="F44" i="16"/>
  <c r="E44" i="16"/>
  <c r="F43" i="16"/>
  <c r="G38" i="16"/>
  <c r="E38" i="16"/>
  <c r="G37" i="16"/>
  <c r="E37" i="16"/>
  <c r="F36" i="16"/>
  <c r="E35" i="16"/>
  <c r="G34" i="16"/>
  <c r="F34" i="16"/>
  <c r="E34" i="16"/>
  <c r="F31" i="16"/>
  <c r="E31" i="16"/>
  <c r="J30" i="16"/>
  <c r="I30" i="16"/>
  <c r="H30" i="16"/>
  <c r="G30" i="16"/>
  <c r="F30" i="16"/>
  <c r="J29" i="16"/>
  <c r="I29" i="16"/>
  <c r="H29" i="16"/>
  <c r="G29" i="16"/>
  <c r="F29" i="16"/>
  <c r="E29" i="16"/>
  <c r="J28" i="16"/>
  <c r="I28" i="16"/>
  <c r="H28" i="16"/>
  <c r="G28" i="16"/>
  <c r="E28" i="16"/>
  <c r="J27" i="16"/>
  <c r="J31" i="16" s="1"/>
  <c r="H27" i="16"/>
  <c r="F27" i="16"/>
  <c r="E27" i="16"/>
  <c r="I26" i="16"/>
  <c r="H26" i="16"/>
  <c r="H31" i="16" s="1"/>
  <c r="F26" i="16"/>
  <c r="E26" i="16"/>
  <c r="I558" i="15"/>
  <c r="G557" i="15"/>
  <c r="H550" i="15"/>
  <c r="J547" i="15"/>
  <c r="I540" i="15"/>
  <c r="G537" i="15"/>
  <c r="I530" i="15"/>
  <c r="F530" i="15"/>
  <c r="G526" i="15"/>
  <c r="E526" i="15"/>
  <c r="J519" i="15"/>
  <c r="I519" i="15"/>
  <c r="H519" i="15"/>
  <c r="G519" i="15"/>
  <c r="F519" i="15"/>
  <c r="E519" i="15"/>
  <c r="J518" i="15"/>
  <c r="I518" i="15"/>
  <c r="H518" i="15"/>
  <c r="G518" i="15"/>
  <c r="F518" i="15"/>
  <c r="E518" i="15"/>
  <c r="J517" i="15"/>
  <c r="I517" i="15"/>
  <c r="H517" i="15"/>
  <c r="G517" i="15"/>
  <c r="F517" i="15"/>
  <c r="E517" i="15"/>
  <c r="J516" i="15"/>
  <c r="I516" i="15"/>
  <c r="H516" i="15"/>
  <c r="G516" i="15"/>
  <c r="F516" i="15"/>
  <c r="E516" i="15"/>
  <c r="J515" i="15"/>
  <c r="I515" i="15"/>
  <c r="H515" i="15"/>
  <c r="G515" i="15"/>
  <c r="F515" i="15"/>
  <c r="E515" i="15"/>
  <c r="G514" i="15"/>
  <c r="G520" i="15" s="1"/>
  <c r="F514" i="15"/>
  <c r="E514" i="15"/>
  <c r="E520" i="15" s="1"/>
  <c r="J511" i="15"/>
  <c r="I511" i="15"/>
  <c r="H511" i="15"/>
  <c r="E510" i="15"/>
  <c r="E509" i="15"/>
  <c r="J508" i="15"/>
  <c r="G507" i="15"/>
  <c r="F507" i="15"/>
  <c r="E507" i="15"/>
  <c r="G503" i="15"/>
  <c r="F503" i="15"/>
  <c r="E503" i="15"/>
  <c r="G502" i="15"/>
  <c r="F502" i="15"/>
  <c r="E502" i="15"/>
  <c r="J501" i="15"/>
  <c r="I501" i="15"/>
  <c r="G501" i="15"/>
  <c r="F501" i="15"/>
  <c r="E501" i="15"/>
  <c r="J500" i="15"/>
  <c r="I500" i="15"/>
  <c r="G500" i="15"/>
  <c r="F500" i="15"/>
  <c r="E500" i="15"/>
  <c r="H499" i="15"/>
  <c r="G499" i="15"/>
  <c r="F499" i="15"/>
  <c r="E499" i="15"/>
  <c r="G498" i="15"/>
  <c r="F498" i="15"/>
  <c r="E498" i="15"/>
  <c r="J496" i="15"/>
  <c r="J49" i="15" s="1"/>
  <c r="J495" i="15"/>
  <c r="I495" i="15"/>
  <c r="H495" i="15"/>
  <c r="G495" i="15"/>
  <c r="F495" i="15"/>
  <c r="E495" i="15"/>
  <c r="G494" i="15"/>
  <c r="F494" i="15"/>
  <c r="E494" i="15"/>
  <c r="G493" i="15"/>
  <c r="F493" i="15"/>
  <c r="E493" i="15"/>
  <c r="I492" i="15"/>
  <c r="G492" i="15"/>
  <c r="F492" i="15"/>
  <c r="E492" i="15"/>
  <c r="J491" i="15"/>
  <c r="I491" i="15"/>
  <c r="G491" i="15"/>
  <c r="F491" i="15"/>
  <c r="E491" i="15"/>
  <c r="H490" i="15"/>
  <c r="G490" i="15"/>
  <c r="F490" i="15"/>
  <c r="E490" i="15"/>
  <c r="E496" i="15" s="1"/>
  <c r="E49" i="15" s="1"/>
  <c r="J487" i="15"/>
  <c r="G487" i="15"/>
  <c r="F487" i="15"/>
  <c r="E487" i="15"/>
  <c r="J486" i="15"/>
  <c r="I486" i="15"/>
  <c r="H486" i="15"/>
  <c r="G486" i="15"/>
  <c r="F486" i="15"/>
  <c r="E486" i="15"/>
  <c r="H485" i="15"/>
  <c r="G485" i="15"/>
  <c r="F485" i="15"/>
  <c r="E485" i="15"/>
  <c r="G484" i="15"/>
  <c r="F484" i="15"/>
  <c r="F488" i="15" s="1"/>
  <c r="F48" i="15" s="1"/>
  <c r="E484" i="15"/>
  <c r="E488" i="15" s="1"/>
  <c r="E48" i="15" s="1"/>
  <c r="J483" i="15"/>
  <c r="I483" i="15"/>
  <c r="G483" i="15"/>
  <c r="F483" i="15"/>
  <c r="E483" i="15"/>
  <c r="I482" i="15"/>
  <c r="I488" i="15" s="1"/>
  <c r="I48" i="15" s="1"/>
  <c r="G482" i="15"/>
  <c r="G488" i="15" s="1"/>
  <c r="G48" i="15" s="1"/>
  <c r="F482" i="15"/>
  <c r="E482" i="15"/>
  <c r="G479" i="15"/>
  <c r="F479" i="15"/>
  <c r="E479" i="15"/>
  <c r="J478" i="15"/>
  <c r="I478" i="15"/>
  <c r="G478" i="15"/>
  <c r="F478" i="15"/>
  <c r="E478" i="15"/>
  <c r="J477" i="15"/>
  <c r="I477" i="15"/>
  <c r="G477" i="15"/>
  <c r="F477" i="15"/>
  <c r="E477" i="15"/>
  <c r="G476" i="15"/>
  <c r="G480" i="15" s="1"/>
  <c r="G47" i="15" s="1"/>
  <c r="F476" i="15"/>
  <c r="E476" i="15"/>
  <c r="E480" i="15" s="1"/>
  <c r="E47" i="15" s="1"/>
  <c r="G475" i="15"/>
  <c r="F475" i="15"/>
  <c r="F480" i="15" s="1"/>
  <c r="E475" i="15"/>
  <c r="J474" i="15"/>
  <c r="I474" i="15"/>
  <c r="G474" i="15"/>
  <c r="F474" i="15"/>
  <c r="E474" i="15"/>
  <c r="H459" i="15"/>
  <c r="G459" i="15"/>
  <c r="F459" i="15"/>
  <c r="E446" i="15"/>
  <c r="D446" i="15"/>
  <c r="A446" i="15"/>
  <c r="J445" i="15"/>
  <c r="I445" i="15"/>
  <c r="F445" i="15"/>
  <c r="E445" i="15"/>
  <c r="D445" i="15"/>
  <c r="A445" i="15"/>
  <c r="J444" i="15"/>
  <c r="I444" i="15"/>
  <c r="F444" i="15"/>
  <c r="E444" i="15"/>
  <c r="D444" i="15"/>
  <c r="A444" i="15"/>
  <c r="J443" i="15"/>
  <c r="J447" i="15" s="1"/>
  <c r="I443" i="15"/>
  <c r="F443" i="15"/>
  <c r="E443" i="15"/>
  <c r="D443" i="15"/>
  <c r="A443" i="15"/>
  <c r="J431" i="15"/>
  <c r="I431" i="15"/>
  <c r="H431" i="15"/>
  <c r="G431" i="15"/>
  <c r="F431" i="15"/>
  <c r="F511" i="15" s="1"/>
  <c r="E431" i="15"/>
  <c r="E511" i="15" s="1"/>
  <c r="G415" i="15"/>
  <c r="F415" i="15"/>
  <c r="E415" i="15"/>
  <c r="E432" i="15" s="1"/>
  <c r="E42" i="15" s="1"/>
  <c r="J503" i="15"/>
  <c r="I503" i="15"/>
  <c r="H503" i="15"/>
  <c r="I487" i="15"/>
  <c r="H487" i="15"/>
  <c r="H415" i="15"/>
  <c r="H432" i="15" s="1"/>
  <c r="H42" i="15" s="1"/>
  <c r="J406" i="15"/>
  <c r="J33" i="15" s="1"/>
  <c r="I406" i="15"/>
  <c r="I33" i="15" s="1"/>
  <c r="H406" i="15"/>
  <c r="G406" i="15"/>
  <c r="F406" i="15"/>
  <c r="E406" i="15"/>
  <c r="I391" i="15"/>
  <c r="H391" i="15"/>
  <c r="G391" i="15"/>
  <c r="F391" i="15"/>
  <c r="E378" i="15"/>
  <c r="D378" i="15"/>
  <c r="A378" i="15"/>
  <c r="J377" i="15"/>
  <c r="I377" i="15"/>
  <c r="F377" i="15"/>
  <c r="E377" i="15"/>
  <c r="D377" i="15"/>
  <c r="A377" i="15"/>
  <c r="J376" i="15"/>
  <c r="I376" i="15"/>
  <c r="F376" i="15"/>
  <c r="E376" i="15"/>
  <c r="D376" i="15"/>
  <c r="A376" i="15"/>
  <c r="J375" i="15"/>
  <c r="I375" i="15"/>
  <c r="F375" i="15"/>
  <c r="E375" i="15"/>
  <c r="D375" i="15"/>
  <c r="A375" i="15"/>
  <c r="I364" i="15"/>
  <c r="I510" i="15" s="1"/>
  <c r="H364" i="15"/>
  <c r="H510" i="15" s="1"/>
  <c r="G364" i="15"/>
  <c r="G510" i="15" s="1"/>
  <c r="F364" i="15"/>
  <c r="F510" i="15" s="1"/>
  <c r="E364" i="15"/>
  <c r="J360" i="15"/>
  <c r="J364" i="15" s="1"/>
  <c r="J510" i="15" s="1"/>
  <c r="I360" i="15"/>
  <c r="H360" i="15"/>
  <c r="I355" i="15"/>
  <c r="I365" i="15" s="1"/>
  <c r="I41" i="15" s="1"/>
  <c r="G355" i="15"/>
  <c r="F355" i="15"/>
  <c r="F365" i="15" s="1"/>
  <c r="F41" i="15" s="1"/>
  <c r="E355" i="15"/>
  <c r="E365" i="15" s="1"/>
  <c r="E41" i="15" s="1"/>
  <c r="J502" i="15"/>
  <c r="I502" i="15"/>
  <c r="H502" i="15"/>
  <c r="J494" i="15"/>
  <c r="I494" i="15"/>
  <c r="H494" i="15"/>
  <c r="J346" i="15"/>
  <c r="I346" i="15"/>
  <c r="I32" i="15" s="1"/>
  <c r="H346" i="15"/>
  <c r="H32" i="15" s="1"/>
  <c r="G346" i="15"/>
  <c r="G32" i="15" s="1"/>
  <c r="F346" i="15"/>
  <c r="F32" i="15" s="1"/>
  <c r="E346" i="15"/>
  <c r="J318" i="15"/>
  <c r="I318" i="15"/>
  <c r="F318" i="15"/>
  <c r="E318" i="15"/>
  <c r="D318" i="15"/>
  <c r="A318" i="15"/>
  <c r="J317" i="15"/>
  <c r="I317" i="15"/>
  <c r="F317" i="15"/>
  <c r="E317" i="15"/>
  <c r="J319" i="15" s="1"/>
  <c r="D317" i="15"/>
  <c r="A317" i="15"/>
  <c r="E306" i="15"/>
  <c r="J305" i="15"/>
  <c r="J509" i="15" s="1"/>
  <c r="I305" i="15"/>
  <c r="I509" i="15" s="1"/>
  <c r="H305" i="15"/>
  <c r="H509" i="15" s="1"/>
  <c r="G305" i="15"/>
  <c r="G509" i="15" s="1"/>
  <c r="F305" i="15"/>
  <c r="F509" i="15" s="1"/>
  <c r="E305" i="15"/>
  <c r="I294" i="15"/>
  <c r="G294" i="15"/>
  <c r="G306" i="15" s="1"/>
  <c r="F294" i="15"/>
  <c r="F306" i="15" s="1"/>
  <c r="E294" i="15"/>
  <c r="H501" i="15"/>
  <c r="J493" i="15"/>
  <c r="I493" i="15"/>
  <c r="H493" i="15"/>
  <c r="J485" i="15"/>
  <c r="I485" i="15"/>
  <c r="H477" i="15"/>
  <c r="J285" i="15"/>
  <c r="I285" i="15"/>
  <c r="H285" i="15"/>
  <c r="G285" i="15"/>
  <c r="F285" i="15"/>
  <c r="F31" i="15" s="1"/>
  <c r="E285" i="15"/>
  <c r="E31" i="15" s="1"/>
  <c r="E257" i="15"/>
  <c r="D257" i="15"/>
  <c r="A257" i="15"/>
  <c r="J256" i="15"/>
  <c r="I256" i="15"/>
  <c r="F256" i="15"/>
  <c r="E256" i="15"/>
  <c r="D256" i="15"/>
  <c r="A256" i="15"/>
  <c r="J255" i="15"/>
  <c r="I255" i="15"/>
  <c r="F255" i="15"/>
  <c r="E255" i="15"/>
  <c r="D255" i="15"/>
  <c r="A255" i="15"/>
  <c r="J254" i="15"/>
  <c r="I254" i="15"/>
  <c r="F254" i="15"/>
  <c r="E254" i="15"/>
  <c r="D254" i="15"/>
  <c r="A254" i="15"/>
  <c r="J253" i="15"/>
  <c r="I253" i="15"/>
  <c r="F253" i="15"/>
  <c r="E253" i="15"/>
  <c r="D253" i="15"/>
  <c r="A253" i="15"/>
  <c r="J252" i="15"/>
  <c r="I252" i="15"/>
  <c r="F252" i="15"/>
  <c r="E252" i="15"/>
  <c r="D252" i="15"/>
  <c r="A252" i="15"/>
  <c r="J251" i="15"/>
  <c r="I251" i="15"/>
  <c r="F251" i="15"/>
  <c r="E251" i="15"/>
  <c r="D251" i="15"/>
  <c r="A251" i="15"/>
  <c r="J250" i="15"/>
  <c r="I250" i="15"/>
  <c r="F250" i="15"/>
  <c r="E250" i="15"/>
  <c r="D250" i="15"/>
  <c r="A250" i="15"/>
  <c r="J249" i="15"/>
  <c r="I249" i="15"/>
  <c r="F249" i="15"/>
  <c r="E249" i="15"/>
  <c r="J258" i="15" s="1"/>
  <c r="D249" i="15"/>
  <c r="A249" i="15"/>
  <c r="J248" i="15"/>
  <c r="I248" i="15"/>
  <c r="F248" i="15"/>
  <c r="E248" i="15"/>
  <c r="D248" i="15"/>
  <c r="A248" i="15"/>
  <c r="J247" i="15"/>
  <c r="I247" i="15"/>
  <c r="F247" i="15"/>
  <c r="E247" i="15"/>
  <c r="D247" i="15"/>
  <c r="A247" i="15"/>
  <c r="F236" i="15"/>
  <c r="F39" i="15" s="1"/>
  <c r="G235" i="15"/>
  <c r="G508" i="15" s="1"/>
  <c r="F235" i="15"/>
  <c r="F508" i="15" s="1"/>
  <c r="E235" i="15"/>
  <c r="E508" i="15" s="1"/>
  <c r="J229" i="15"/>
  <c r="J235" i="15" s="1"/>
  <c r="I229" i="15"/>
  <c r="H229" i="15"/>
  <c r="J228" i="15"/>
  <c r="I228" i="15"/>
  <c r="H228" i="15"/>
  <c r="H235" i="15" s="1"/>
  <c r="H508" i="15" s="1"/>
  <c r="J224" i="15"/>
  <c r="J236" i="15" s="1"/>
  <c r="J39" i="15" s="1"/>
  <c r="G224" i="15"/>
  <c r="G236" i="15" s="1"/>
  <c r="G39" i="15" s="1"/>
  <c r="F224" i="15"/>
  <c r="E224" i="15"/>
  <c r="H500" i="15"/>
  <c r="J492" i="15"/>
  <c r="H492" i="15"/>
  <c r="J484" i="15"/>
  <c r="I484" i="15"/>
  <c r="H484" i="15"/>
  <c r="J476" i="15"/>
  <c r="I476" i="15"/>
  <c r="H476" i="15"/>
  <c r="J215" i="15"/>
  <c r="J30" i="15" s="1"/>
  <c r="I215" i="15"/>
  <c r="I30" i="15" s="1"/>
  <c r="H215" i="15"/>
  <c r="G215" i="15"/>
  <c r="F215" i="15"/>
  <c r="E215" i="15"/>
  <c r="H200" i="15"/>
  <c r="G200" i="15"/>
  <c r="F200" i="15"/>
  <c r="E188" i="15"/>
  <c r="D188" i="15"/>
  <c r="A188" i="15"/>
  <c r="J187" i="15"/>
  <c r="I187" i="15"/>
  <c r="F187" i="15"/>
  <c r="E187" i="15"/>
  <c r="D187" i="15"/>
  <c r="A187" i="15"/>
  <c r="J186" i="15"/>
  <c r="I186" i="15"/>
  <c r="F186" i="15"/>
  <c r="E186" i="15"/>
  <c r="D186" i="15"/>
  <c r="A186" i="15"/>
  <c r="J185" i="15"/>
  <c r="I185" i="15"/>
  <c r="F185" i="15"/>
  <c r="E185" i="15"/>
  <c r="D185" i="15"/>
  <c r="A185" i="15"/>
  <c r="J184" i="15"/>
  <c r="J189" i="15" s="1"/>
  <c r="I184" i="15"/>
  <c r="F184" i="15"/>
  <c r="E184" i="15"/>
  <c r="D184" i="15"/>
  <c r="A184" i="15"/>
  <c r="J183" i="15"/>
  <c r="I183" i="15"/>
  <c r="F183" i="15"/>
  <c r="E183" i="15"/>
  <c r="D183" i="15"/>
  <c r="A183" i="15"/>
  <c r="E172" i="15"/>
  <c r="E38" i="15" s="1"/>
  <c r="G171" i="15"/>
  <c r="F171" i="15"/>
  <c r="E171" i="15"/>
  <c r="J168" i="15"/>
  <c r="I168" i="15"/>
  <c r="I171" i="15" s="1"/>
  <c r="I507" i="15" s="1"/>
  <c r="H168" i="15"/>
  <c r="H171" i="15" s="1"/>
  <c r="H507" i="15" s="1"/>
  <c r="J167" i="15"/>
  <c r="J171" i="15" s="1"/>
  <c r="J507" i="15" s="1"/>
  <c r="I167" i="15"/>
  <c r="H167" i="15"/>
  <c r="G162" i="15"/>
  <c r="G172" i="15" s="1"/>
  <c r="G38" i="15" s="1"/>
  <c r="F162" i="15"/>
  <c r="F172" i="15" s="1"/>
  <c r="F38" i="15" s="1"/>
  <c r="E162" i="15"/>
  <c r="J499" i="15"/>
  <c r="I499" i="15"/>
  <c r="H491" i="15"/>
  <c r="H483" i="15"/>
  <c r="J475" i="15"/>
  <c r="I475" i="15"/>
  <c r="H475" i="15"/>
  <c r="J153" i="15"/>
  <c r="I153" i="15"/>
  <c r="H153" i="15"/>
  <c r="G153" i="15"/>
  <c r="G29" i="15" s="1"/>
  <c r="F153" i="15"/>
  <c r="E153" i="15"/>
  <c r="I331" i="15"/>
  <c r="H331" i="15"/>
  <c r="G331" i="15"/>
  <c r="F331" i="15"/>
  <c r="E123" i="15"/>
  <c r="D123" i="15"/>
  <c r="A123" i="15"/>
  <c r="J122" i="15"/>
  <c r="I122" i="15"/>
  <c r="F122" i="15"/>
  <c r="E122" i="15"/>
  <c r="D122" i="15"/>
  <c r="A122" i="15"/>
  <c r="J121" i="15"/>
  <c r="I121" i="15"/>
  <c r="F121" i="15"/>
  <c r="E121" i="15"/>
  <c r="D121" i="15"/>
  <c r="A121" i="15"/>
  <c r="J120" i="15"/>
  <c r="I120" i="15"/>
  <c r="F120" i="15"/>
  <c r="E120" i="15"/>
  <c r="D120" i="15"/>
  <c r="A120" i="15"/>
  <c r="J119" i="15"/>
  <c r="I119" i="15"/>
  <c r="F119" i="15"/>
  <c r="E119" i="15"/>
  <c r="J124" i="15" s="1"/>
  <c r="D119" i="15"/>
  <c r="A119" i="15"/>
  <c r="J118" i="15"/>
  <c r="I118" i="15"/>
  <c r="F118" i="15"/>
  <c r="E118" i="15"/>
  <c r="D118" i="15"/>
  <c r="A118" i="15"/>
  <c r="H562" i="15" s="1"/>
  <c r="J114" i="15"/>
  <c r="J514" i="15" s="1"/>
  <c r="J520" i="15" s="1"/>
  <c r="I114" i="15"/>
  <c r="I514" i="15" s="1"/>
  <c r="I520" i="15" s="1"/>
  <c r="H114" i="15"/>
  <c r="H514" i="15" s="1"/>
  <c r="H520" i="15" s="1"/>
  <c r="G114" i="15"/>
  <c r="F114" i="15"/>
  <c r="E114" i="15"/>
  <c r="G106" i="15"/>
  <c r="G37" i="15" s="1"/>
  <c r="E106" i="15"/>
  <c r="E37" i="15" s="1"/>
  <c r="G105" i="15"/>
  <c r="G506" i="15" s="1"/>
  <c r="F105" i="15"/>
  <c r="F506" i="15" s="1"/>
  <c r="E105" i="15"/>
  <c r="E506" i="15" s="1"/>
  <c r="J100" i="15"/>
  <c r="J105" i="15" s="1"/>
  <c r="J506" i="15" s="1"/>
  <c r="I100" i="15"/>
  <c r="H100" i="15"/>
  <c r="H105" i="15" s="1"/>
  <c r="H506" i="15" s="1"/>
  <c r="H512" i="15" s="1"/>
  <c r="H51" i="15" s="1"/>
  <c r="G88" i="15"/>
  <c r="F88" i="15"/>
  <c r="F106" i="15" s="1"/>
  <c r="F37" i="15" s="1"/>
  <c r="E88" i="15"/>
  <c r="I498" i="15"/>
  <c r="H498" i="15"/>
  <c r="J490" i="15"/>
  <c r="H482" i="15"/>
  <c r="H488" i="15" s="1"/>
  <c r="I88" i="15"/>
  <c r="H474" i="15"/>
  <c r="J79" i="15"/>
  <c r="I79" i="15"/>
  <c r="H79" i="15"/>
  <c r="G79" i="15"/>
  <c r="G28" i="15" s="1"/>
  <c r="F79" i="15"/>
  <c r="F28" i="15" s="1"/>
  <c r="E79" i="15"/>
  <c r="E28" i="15" s="1"/>
  <c r="H59" i="15"/>
  <c r="F59" i="15"/>
  <c r="J58" i="15"/>
  <c r="I58" i="15"/>
  <c r="H58" i="15"/>
  <c r="G58" i="15"/>
  <c r="F58" i="15"/>
  <c r="E58" i="15"/>
  <c r="C58" i="15"/>
  <c r="B58" i="15"/>
  <c r="A58" i="15"/>
  <c r="J57" i="15"/>
  <c r="I57" i="15"/>
  <c r="H57" i="15"/>
  <c r="G57" i="15"/>
  <c r="F57" i="15"/>
  <c r="E57" i="15"/>
  <c r="C57" i="15"/>
  <c r="B57" i="15"/>
  <c r="A57" i="15"/>
  <c r="J56" i="15"/>
  <c r="J59" i="15" s="1"/>
  <c r="I56" i="15"/>
  <c r="I59" i="15" s="1"/>
  <c r="H56" i="15"/>
  <c r="G56" i="15"/>
  <c r="G59" i="15" s="1"/>
  <c r="F56" i="15"/>
  <c r="E56" i="15"/>
  <c r="E59" i="15" s="1"/>
  <c r="C56" i="15"/>
  <c r="B56" i="15"/>
  <c r="A56" i="15"/>
  <c r="H48" i="15"/>
  <c r="F47" i="15"/>
  <c r="G40" i="15"/>
  <c r="F40" i="15"/>
  <c r="E40" i="15"/>
  <c r="H33" i="15"/>
  <c r="G33" i="15"/>
  <c r="F33" i="15"/>
  <c r="E33" i="15"/>
  <c r="J32" i="15"/>
  <c r="E32" i="15"/>
  <c r="J31" i="15"/>
  <c r="I31" i="15"/>
  <c r="H31" i="15"/>
  <c r="G31" i="15"/>
  <c r="H30" i="15"/>
  <c r="G30" i="15"/>
  <c r="F30" i="15"/>
  <c r="E30" i="15"/>
  <c r="J29" i="15"/>
  <c r="I29" i="15"/>
  <c r="H29" i="15"/>
  <c r="F29" i="15"/>
  <c r="E29" i="15"/>
  <c r="J28" i="15"/>
  <c r="I28" i="15"/>
  <c r="H28" i="15"/>
  <c r="E484" i="14"/>
  <c r="J477" i="14"/>
  <c r="I477" i="14"/>
  <c r="H477" i="14"/>
  <c r="G477" i="14"/>
  <c r="F477" i="14"/>
  <c r="E477" i="14"/>
  <c r="J476" i="14"/>
  <c r="I476" i="14"/>
  <c r="H476" i="14"/>
  <c r="G476" i="14"/>
  <c r="F476" i="14"/>
  <c r="E476" i="14"/>
  <c r="J475" i="14"/>
  <c r="I475" i="14"/>
  <c r="H475" i="14"/>
  <c r="G475" i="14"/>
  <c r="F475" i="14"/>
  <c r="E475" i="14"/>
  <c r="J474" i="14"/>
  <c r="I474" i="14"/>
  <c r="H474" i="14"/>
  <c r="G474" i="14"/>
  <c r="F474" i="14"/>
  <c r="E474" i="14"/>
  <c r="F473" i="14"/>
  <c r="F478" i="14" s="1"/>
  <c r="I470" i="14"/>
  <c r="H470" i="14"/>
  <c r="I469" i="14"/>
  <c r="G469" i="14"/>
  <c r="G468" i="14"/>
  <c r="E468" i="14"/>
  <c r="G467" i="14"/>
  <c r="E467" i="14"/>
  <c r="I466" i="14"/>
  <c r="I471" i="14" s="1"/>
  <c r="I463" i="14"/>
  <c r="H463" i="14"/>
  <c r="G463" i="14"/>
  <c r="F463" i="14"/>
  <c r="E463" i="14"/>
  <c r="G462" i="14"/>
  <c r="F462" i="14"/>
  <c r="E462" i="14"/>
  <c r="I461" i="14"/>
  <c r="G461" i="14"/>
  <c r="F461" i="14"/>
  <c r="E461" i="14"/>
  <c r="I460" i="14"/>
  <c r="G460" i="14"/>
  <c r="F460" i="14"/>
  <c r="E460" i="14"/>
  <c r="G459" i="14"/>
  <c r="G464" i="14" s="1"/>
  <c r="G47" i="14" s="1"/>
  <c r="F459" i="14"/>
  <c r="F464" i="14" s="1"/>
  <c r="F47" i="14" s="1"/>
  <c r="E459" i="14"/>
  <c r="H456" i="14"/>
  <c r="G456" i="14"/>
  <c r="F456" i="14"/>
  <c r="E456" i="14"/>
  <c r="J455" i="14"/>
  <c r="G455" i="14"/>
  <c r="F455" i="14"/>
  <c r="F457" i="14" s="1"/>
  <c r="F46" i="14" s="1"/>
  <c r="E455" i="14"/>
  <c r="G454" i="14"/>
  <c r="F454" i="14"/>
  <c r="E454" i="14"/>
  <c r="J453" i="14"/>
  <c r="G453" i="14"/>
  <c r="G457" i="14" s="1"/>
  <c r="F453" i="14"/>
  <c r="E453" i="14"/>
  <c r="I452" i="14"/>
  <c r="G452" i="14"/>
  <c r="F452" i="14"/>
  <c r="E452" i="14"/>
  <c r="E457" i="14" s="1"/>
  <c r="I449" i="14"/>
  <c r="H449" i="14"/>
  <c r="G449" i="14"/>
  <c r="F449" i="14"/>
  <c r="E449" i="14"/>
  <c r="G448" i="14"/>
  <c r="F448" i="14"/>
  <c r="E448" i="14"/>
  <c r="J447" i="14"/>
  <c r="G447" i="14"/>
  <c r="F447" i="14"/>
  <c r="E447" i="14"/>
  <c r="I446" i="14"/>
  <c r="G446" i="14"/>
  <c r="G450" i="14" s="1"/>
  <c r="G45" i="14" s="1"/>
  <c r="F446" i="14"/>
  <c r="E446" i="14"/>
  <c r="H445" i="14"/>
  <c r="G445" i="14"/>
  <c r="F445" i="14"/>
  <c r="F450" i="14" s="1"/>
  <c r="E445" i="14"/>
  <c r="E450" i="14" s="1"/>
  <c r="J442" i="14"/>
  <c r="H442" i="14"/>
  <c r="G442" i="14"/>
  <c r="F442" i="14"/>
  <c r="E442" i="14"/>
  <c r="I441" i="14"/>
  <c r="H441" i="14"/>
  <c r="G441" i="14"/>
  <c r="F441" i="14"/>
  <c r="E441" i="14"/>
  <c r="G440" i="14"/>
  <c r="F440" i="14"/>
  <c r="E440" i="14"/>
  <c r="G439" i="14"/>
  <c r="G443" i="14" s="1"/>
  <c r="G44" i="14" s="1"/>
  <c r="F439" i="14"/>
  <c r="E439" i="14"/>
  <c r="G438" i="14"/>
  <c r="F438" i="14"/>
  <c r="E438" i="14"/>
  <c r="E443" i="14" s="1"/>
  <c r="E44" i="14" s="1"/>
  <c r="I422" i="14"/>
  <c r="J411" i="14"/>
  <c r="J410" i="14"/>
  <c r="I410" i="14"/>
  <c r="F410" i="14"/>
  <c r="E410" i="14"/>
  <c r="D410" i="14"/>
  <c r="A410" i="14"/>
  <c r="J409" i="14"/>
  <c r="I409" i="14"/>
  <c r="F409" i="14"/>
  <c r="E409" i="14"/>
  <c r="D409" i="14"/>
  <c r="A409" i="14"/>
  <c r="G398" i="14"/>
  <c r="G39" i="14" s="1"/>
  <c r="F398" i="14"/>
  <c r="J397" i="14"/>
  <c r="J470" i="14" s="1"/>
  <c r="I397" i="14"/>
  <c r="H397" i="14"/>
  <c r="G397" i="14"/>
  <c r="G470" i="14" s="1"/>
  <c r="F397" i="14"/>
  <c r="F470" i="14" s="1"/>
  <c r="E397" i="14"/>
  <c r="H390" i="14"/>
  <c r="H398" i="14" s="1"/>
  <c r="G390" i="14"/>
  <c r="F390" i="14"/>
  <c r="E390" i="14"/>
  <c r="J463" i="14"/>
  <c r="J456" i="14"/>
  <c r="I390" i="14"/>
  <c r="I398" i="14" s="1"/>
  <c r="J449" i="14"/>
  <c r="J390" i="14"/>
  <c r="I442" i="14"/>
  <c r="J381" i="14"/>
  <c r="I381" i="14"/>
  <c r="H381" i="14"/>
  <c r="G381" i="14"/>
  <c r="F381" i="14"/>
  <c r="E381" i="14"/>
  <c r="I366" i="14"/>
  <c r="F366" i="14"/>
  <c r="E350" i="14"/>
  <c r="D350" i="14"/>
  <c r="A350" i="14"/>
  <c r="J349" i="14"/>
  <c r="I349" i="14"/>
  <c r="F349" i="14"/>
  <c r="E349" i="14"/>
  <c r="D349" i="14"/>
  <c r="A349" i="14"/>
  <c r="J348" i="14"/>
  <c r="I348" i="14"/>
  <c r="F348" i="14"/>
  <c r="E348" i="14"/>
  <c r="D348" i="14"/>
  <c r="A348" i="14"/>
  <c r="J347" i="14"/>
  <c r="I347" i="14"/>
  <c r="F347" i="14"/>
  <c r="E347" i="14"/>
  <c r="D347" i="14"/>
  <c r="A347" i="14"/>
  <c r="J346" i="14"/>
  <c r="I346" i="14"/>
  <c r="F346" i="14"/>
  <c r="E346" i="14"/>
  <c r="D346" i="14"/>
  <c r="A346" i="14"/>
  <c r="J345" i="14"/>
  <c r="I345" i="14"/>
  <c r="F345" i="14"/>
  <c r="E345" i="14"/>
  <c r="D345" i="14"/>
  <c r="A345" i="14"/>
  <c r="J344" i="14"/>
  <c r="I344" i="14"/>
  <c r="F344" i="14"/>
  <c r="E344" i="14"/>
  <c r="D344" i="14"/>
  <c r="A344" i="14"/>
  <c r="G334" i="14"/>
  <c r="G38" i="14" s="1"/>
  <c r="J333" i="14"/>
  <c r="J469" i="14" s="1"/>
  <c r="I333" i="14"/>
  <c r="H333" i="14"/>
  <c r="H469" i="14" s="1"/>
  <c r="G333" i="14"/>
  <c r="F333" i="14"/>
  <c r="F469" i="14" s="1"/>
  <c r="E333" i="14"/>
  <c r="E469" i="14" s="1"/>
  <c r="G322" i="14"/>
  <c r="F322" i="14"/>
  <c r="E322" i="14"/>
  <c r="J462" i="14"/>
  <c r="I462" i="14"/>
  <c r="H462" i="14"/>
  <c r="I455" i="14"/>
  <c r="J448" i="14"/>
  <c r="I448" i="14"/>
  <c r="H448" i="14"/>
  <c r="J313" i="14"/>
  <c r="I313" i="14"/>
  <c r="H313" i="14"/>
  <c r="H30" i="14" s="1"/>
  <c r="G313" i="14"/>
  <c r="G30" i="14" s="1"/>
  <c r="F313" i="14"/>
  <c r="E313" i="14"/>
  <c r="I292" i="14"/>
  <c r="J280" i="14"/>
  <c r="I280" i="14"/>
  <c r="F280" i="14"/>
  <c r="E280" i="14"/>
  <c r="D280" i="14"/>
  <c r="A280" i="14"/>
  <c r="J279" i="14"/>
  <c r="I279" i="14"/>
  <c r="F279" i="14"/>
  <c r="E279" i="14"/>
  <c r="D279" i="14"/>
  <c r="A279" i="14"/>
  <c r="J278" i="14"/>
  <c r="I278" i="14"/>
  <c r="F278" i="14"/>
  <c r="E278" i="14"/>
  <c r="D278" i="14"/>
  <c r="A278" i="14"/>
  <c r="J277" i="14"/>
  <c r="I277" i="14"/>
  <c r="F277" i="14"/>
  <c r="E277" i="14"/>
  <c r="D277" i="14"/>
  <c r="A277" i="14"/>
  <c r="J276" i="14"/>
  <c r="I276" i="14"/>
  <c r="F276" i="14"/>
  <c r="E276" i="14"/>
  <c r="D276" i="14"/>
  <c r="A276" i="14"/>
  <c r="J275" i="14"/>
  <c r="I275" i="14"/>
  <c r="F275" i="14"/>
  <c r="E275" i="14"/>
  <c r="D275" i="14"/>
  <c r="A275" i="14"/>
  <c r="J274" i="14"/>
  <c r="I274" i="14"/>
  <c r="F274" i="14"/>
  <c r="E274" i="14"/>
  <c r="D274" i="14"/>
  <c r="A274" i="14"/>
  <c r="J273" i="14"/>
  <c r="I273" i="14"/>
  <c r="F273" i="14"/>
  <c r="E273" i="14"/>
  <c r="D273" i="14"/>
  <c r="A273" i="14"/>
  <c r="J272" i="14"/>
  <c r="I272" i="14"/>
  <c r="F272" i="14"/>
  <c r="E272" i="14"/>
  <c r="D272" i="14"/>
  <c r="A272" i="14"/>
  <c r="E261" i="14"/>
  <c r="J260" i="14"/>
  <c r="J468" i="14" s="1"/>
  <c r="I260" i="14"/>
  <c r="I468" i="14" s="1"/>
  <c r="H260" i="14"/>
  <c r="H468" i="14" s="1"/>
  <c r="G260" i="14"/>
  <c r="F260" i="14"/>
  <c r="F468" i="14" s="1"/>
  <c r="E260" i="14"/>
  <c r="I255" i="14"/>
  <c r="I261" i="14" s="1"/>
  <c r="I37" i="14" s="1"/>
  <c r="G255" i="14"/>
  <c r="G261" i="14" s="1"/>
  <c r="G37" i="14" s="1"/>
  <c r="F255" i="14"/>
  <c r="F261" i="14" s="1"/>
  <c r="F37" i="14" s="1"/>
  <c r="E255" i="14"/>
  <c r="J461" i="14"/>
  <c r="H461" i="14"/>
  <c r="J454" i="14"/>
  <c r="I454" i="14"/>
  <c r="H454" i="14"/>
  <c r="J255" i="14"/>
  <c r="J261" i="14" s="1"/>
  <c r="J37" i="14" s="1"/>
  <c r="I447" i="14"/>
  <c r="H447" i="14"/>
  <c r="J440" i="14"/>
  <c r="I440" i="14"/>
  <c r="J246" i="14"/>
  <c r="I246" i="14"/>
  <c r="H246" i="14"/>
  <c r="G246" i="14"/>
  <c r="G29" i="14" s="1"/>
  <c r="F246" i="14"/>
  <c r="F29" i="14" s="1"/>
  <c r="E246" i="14"/>
  <c r="I227" i="14"/>
  <c r="F227" i="14"/>
  <c r="J213" i="14"/>
  <c r="I213" i="14"/>
  <c r="F213" i="14"/>
  <c r="E213" i="14"/>
  <c r="D213" i="14"/>
  <c r="A213" i="14"/>
  <c r="J212" i="14"/>
  <c r="I212" i="14"/>
  <c r="F212" i="14"/>
  <c r="E212" i="14"/>
  <c r="D212" i="14"/>
  <c r="A212" i="14"/>
  <c r="J211" i="14"/>
  <c r="I211" i="14"/>
  <c r="F211" i="14"/>
  <c r="E211" i="14"/>
  <c r="D211" i="14"/>
  <c r="A211" i="14"/>
  <c r="J210" i="14"/>
  <c r="I210" i="14"/>
  <c r="F210" i="14"/>
  <c r="E210" i="14"/>
  <c r="D210" i="14"/>
  <c r="A210" i="14"/>
  <c r="J209" i="14"/>
  <c r="I209" i="14"/>
  <c r="F209" i="14"/>
  <c r="E209" i="14"/>
  <c r="D209" i="14"/>
  <c r="A209" i="14"/>
  <c r="J208" i="14"/>
  <c r="I208" i="14"/>
  <c r="F208" i="14"/>
  <c r="E208" i="14"/>
  <c r="D208" i="14"/>
  <c r="A208" i="14"/>
  <c r="J207" i="14"/>
  <c r="I207" i="14"/>
  <c r="F207" i="14"/>
  <c r="E207" i="14"/>
  <c r="D207" i="14"/>
  <c r="A207" i="14"/>
  <c r="J206" i="14"/>
  <c r="I206" i="14"/>
  <c r="F206" i="14"/>
  <c r="E206" i="14"/>
  <c r="D206" i="14"/>
  <c r="A206" i="14"/>
  <c r="J205" i="14"/>
  <c r="I205" i="14"/>
  <c r="F205" i="14"/>
  <c r="E205" i="14"/>
  <c r="D205" i="14"/>
  <c r="A205" i="14"/>
  <c r="J204" i="14"/>
  <c r="I204" i="14"/>
  <c r="F204" i="14"/>
  <c r="E204" i="14"/>
  <c r="D204" i="14"/>
  <c r="A204" i="14"/>
  <c r="J203" i="14"/>
  <c r="I203" i="14"/>
  <c r="F203" i="14"/>
  <c r="E203" i="14"/>
  <c r="J214" i="14" s="1"/>
  <c r="D203" i="14"/>
  <c r="A203" i="14"/>
  <c r="J202" i="14"/>
  <c r="I202" i="14"/>
  <c r="F202" i="14"/>
  <c r="E202" i="14"/>
  <c r="D202" i="14"/>
  <c r="A202" i="14"/>
  <c r="E516" i="14" s="1"/>
  <c r="J201" i="14"/>
  <c r="I201" i="14"/>
  <c r="F201" i="14"/>
  <c r="E201" i="14"/>
  <c r="D201" i="14"/>
  <c r="A201" i="14"/>
  <c r="J189" i="14"/>
  <c r="J467" i="14" s="1"/>
  <c r="I189" i="14"/>
  <c r="I467" i="14" s="1"/>
  <c r="H189" i="14"/>
  <c r="H467" i="14" s="1"/>
  <c r="G189" i="14"/>
  <c r="F189" i="14"/>
  <c r="E189" i="14"/>
  <c r="E190" i="14" s="1"/>
  <c r="E36" i="14" s="1"/>
  <c r="J184" i="14"/>
  <c r="G184" i="14"/>
  <c r="G190" i="14" s="1"/>
  <c r="G36" i="14" s="1"/>
  <c r="F184" i="14"/>
  <c r="E184" i="14"/>
  <c r="J460" i="14"/>
  <c r="H460" i="14"/>
  <c r="I453" i="14"/>
  <c r="H453" i="14"/>
  <c r="J446" i="14"/>
  <c r="H184" i="14"/>
  <c r="H190" i="14" s="1"/>
  <c r="H36" i="14" s="1"/>
  <c r="J439" i="14"/>
  <c r="H439" i="14"/>
  <c r="J175" i="14"/>
  <c r="J28" i="14" s="1"/>
  <c r="I175" i="14"/>
  <c r="I28" i="14" s="1"/>
  <c r="H175" i="14"/>
  <c r="G175" i="14"/>
  <c r="F175" i="14"/>
  <c r="E175" i="14"/>
  <c r="F292" i="14"/>
  <c r="E140" i="14"/>
  <c r="D140" i="14"/>
  <c r="A140" i="14"/>
  <c r="J139" i="14"/>
  <c r="I139" i="14"/>
  <c r="F139" i="14"/>
  <c r="E139" i="14"/>
  <c r="D139" i="14"/>
  <c r="A139" i="14"/>
  <c r="J138" i="14"/>
  <c r="I138" i="14"/>
  <c r="F138" i="14"/>
  <c r="E138" i="14"/>
  <c r="D138" i="14"/>
  <c r="A138" i="14"/>
  <c r="J137" i="14"/>
  <c r="J141" i="14" s="1"/>
  <c r="I137" i="14"/>
  <c r="F137" i="14"/>
  <c r="E137" i="14"/>
  <c r="D137" i="14"/>
  <c r="A137" i="14"/>
  <c r="J136" i="14"/>
  <c r="I136" i="14"/>
  <c r="F136" i="14"/>
  <c r="E136" i="14"/>
  <c r="D136" i="14"/>
  <c r="A136" i="14"/>
  <c r="J135" i="14"/>
  <c r="I135" i="14"/>
  <c r="F135" i="14"/>
  <c r="E135" i="14"/>
  <c r="D135" i="14"/>
  <c r="A135" i="14"/>
  <c r="J131" i="14"/>
  <c r="J473" i="14" s="1"/>
  <c r="I131" i="14"/>
  <c r="I473" i="14" s="1"/>
  <c r="I478" i="14" s="1"/>
  <c r="H131" i="14"/>
  <c r="H473" i="14" s="1"/>
  <c r="G131" i="14"/>
  <c r="G473" i="14" s="1"/>
  <c r="G478" i="14" s="1"/>
  <c r="F131" i="14"/>
  <c r="E131" i="14"/>
  <c r="E473" i="14" s="1"/>
  <c r="E478" i="14" s="1"/>
  <c r="I113" i="14"/>
  <c r="G113" i="14"/>
  <c r="G466" i="14" s="1"/>
  <c r="G471" i="14" s="1"/>
  <c r="G48" i="14" s="1"/>
  <c r="F113" i="14"/>
  <c r="F466" i="14" s="1"/>
  <c r="E113" i="14"/>
  <c r="E466" i="14" s="1"/>
  <c r="J108" i="14"/>
  <c r="J113" i="14" s="1"/>
  <c r="J466" i="14" s="1"/>
  <c r="I108" i="14"/>
  <c r="H108" i="14"/>
  <c r="H113" i="14" s="1"/>
  <c r="H466" i="14" s="1"/>
  <c r="H471" i="14" s="1"/>
  <c r="H48" i="14" s="1"/>
  <c r="G96" i="14"/>
  <c r="F96" i="14"/>
  <c r="F114" i="14" s="1"/>
  <c r="E96" i="14"/>
  <c r="J459" i="14"/>
  <c r="I459" i="14"/>
  <c r="H459" i="14"/>
  <c r="H464" i="14" s="1"/>
  <c r="H47" i="14" s="1"/>
  <c r="J452" i="14"/>
  <c r="H452" i="14"/>
  <c r="J445" i="14"/>
  <c r="I445" i="14"/>
  <c r="H438" i="14"/>
  <c r="J87" i="14"/>
  <c r="J27" i="14" s="1"/>
  <c r="I87" i="14"/>
  <c r="H87" i="14"/>
  <c r="G87" i="14"/>
  <c r="G27" i="14" s="1"/>
  <c r="G32" i="14" s="1"/>
  <c r="F87" i="14"/>
  <c r="E87" i="14"/>
  <c r="E27" i="14" s="1"/>
  <c r="J65" i="14"/>
  <c r="J64" i="14"/>
  <c r="I64" i="14"/>
  <c r="H64" i="14"/>
  <c r="G64" i="14"/>
  <c r="F64" i="14"/>
  <c r="E64" i="14"/>
  <c r="D64" i="14"/>
  <c r="C64" i="14"/>
  <c r="B64" i="14"/>
  <c r="A64" i="14"/>
  <c r="J63" i="14"/>
  <c r="I63" i="14"/>
  <c r="H63" i="14"/>
  <c r="G63" i="14"/>
  <c r="F63" i="14"/>
  <c r="E63" i="14"/>
  <c r="D63" i="14"/>
  <c r="C63" i="14"/>
  <c r="B63" i="14"/>
  <c r="A63" i="14"/>
  <c r="J62" i="14"/>
  <c r="I62" i="14"/>
  <c r="H62" i="14"/>
  <c r="G62" i="14"/>
  <c r="F62" i="14"/>
  <c r="E62" i="14"/>
  <c r="D62" i="14"/>
  <c r="C62" i="14"/>
  <c r="B62" i="14"/>
  <c r="A62" i="14"/>
  <c r="J61" i="14"/>
  <c r="I61" i="14"/>
  <c r="H61" i="14"/>
  <c r="G61" i="14"/>
  <c r="F61" i="14"/>
  <c r="E61" i="14"/>
  <c r="D61" i="14"/>
  <c r="C61" i="14"/>
  <c r="B61" i="14"/>
  <c r="A61" i="14"/>
  <c r="J60" i="14"/>
  <c r="I60" i="14"/>
  <c r="H60" i="14"/>
  <c r="G60" i="14"/>
  <c r="F60" i="14"/>
  <c r="E60" i="14"/>
  <c r="D60" i="14"/>
  <c r="C60" i="14"/>
  <c r="B60" i="14"/>
  <c r="A60" i="14"/>
  <c r="J59" i="14"/>
  <c r="I59" i="14"/>
  <c r="H59" i="14"/>
  <c r="G59" i="14"/>
  <c r="F59" i="14"/>
  <c r="E59" i="14"/>
  <c r="D59" i="14"/>
  <c r="C59" i="14"/>
  <c r="B59" i="14"/>
  <c r="A59" i="14"/>
  <c r="J58" i="14"/>
  <c r="I58" i="14"/>
  <c r="H58" i="14"/>
  <c r="G58" i="14"/>
  <c r="F58" i="14"/>
  <c r="E58" i="14"/>
  <c r="D58" i="14"/>
  <c r="C58" i="14"/>
  <c r="B58" i="14"/>
  <c r="A58" i="14"/>
  <c r="J57" i="14"/>
  <c r="I57" i="14"/>
  <c r="H57" i="14"/>
  <c r="G57" i="14"/>
  <c r="F57" i="14"/>
  <c r="E57" i="14"/>
  <c r="D57" i="14"/>
  <c r="C57" i="14"/>
  <c r="B57" i="14"/>
  <c r="A57" i="14"/>
  <c r="J56" i="14"/>
  <c r="I56" i="14"/>
  <c r="H56" i="14"/>
  <c r="G56" i="14"/>
  <c r="F56" i="14"/>
  <c r="E56" i="14"/>
  <c r="D56" i="14"/>
  <c r="C56" i="14"/>
  <c r="B56" i="14"/>
  <c r="A56" i="14"/>
  <c r="J55" i="14"/>
  <c r="I55" i="14"/>
  <c r="H55" i="14"/>
  <c r="G55" i="14"/>
  <c r="F55" i="14"/>
  <c r="E55" i="14"/>
  <c r="D55" i="14"/>
  <c r="C55" i="14"/>
  <c r="B55" i="14"/>
  <c r="A55" i="14"/>
  <c r="J54" i="14"/>
  <c r="I54" i="14"/>
  <c r="H54" i="14"/>
  <c r="G54" i="14"/>
  <c r="F54" i="14"/>
  <c r="E54" i="14"/>
  <c r="D54" i="14"/>
  <c r="C54" i="14"/>
  <c r="B54" i="14"/>
  <c r="A54" i="14"/>
  <c r="J53" i="14"/>
  <c r="I53" i="14"/>
  <c r="H53" i="14"/>
  <c r="H65" i="14" s="1"/>
  <c r="G53" i="14"/>
  <c r="F53" i="14"/>
  <c r="E53" i="14"/>
  <c r="E65" i="14" s="1"/>
  <c r="D53" i="14"/>
  <c r="C53" i="14"/>
  <c r="B53" i="14"/>
  <c r="A53" i="14"/>
  <c r="I48" i="14"/>
  <c r="G46" i="14"/>
  <c r="E46" i="14"/>
  <c r="F45" i="14"/>
  <c r="E45" i="14"/>
  <c r="I39" i="14"/>
  <c r="H39" i="14"/>
  <c r="F39" i="14"/>
  <c r="E37" i="14"/>
  <c r="H32" i="14"/>
  <c r="J31" i="14"/>
  <c r="I31" i="14"/>
  <c r="H31" i="14"/>
  <c r="G31" i="14"/>
  <c r="F31" i="14"/>
  <c r="E31" i="14"/>
  <c r="J30" i="14"/>
  <c r="I30" i="14"/>
  <c r="F30" i="14"/>
  <c r="E30" i="14"/>
  <c r="J29" i="14"/>
  <c r="I29" i="14"/>
  <c r="H29" i="14"/>
  <c r="E29" i="14"/>
  <c r="E32" i="14" s="1"/>
  <c r="H28" i="14"/>
  <c r="G28" i="14"/>
  <c r="F28" i="14"/>
  <c r="E28" i="14"/>
  <c r="I27" i="14"/>
  <c r="H27" i="14"/>
  <c r="F27" i="14"/>
  <c r="F680" i="13"/>
  <c r="F673" i="13"/>
  <c r="H650" i="13"/>
  <c r="J639" i="13"/>
  <c r="I639" i="13"/>
  <c r="H639" i="13"/>
  <c r="G639" i="13"/>
  <c r="F639" i="13"/>
  <c r="E639" i="13"/>
  <c r="J638" i="13"/>
  <c r="I638" i="13"/>
  <c r="H638" i="13"/>
  <c r="G638" i="13"/>
  <c r="F638" i="13"/>
  <c r="E638" i="13"/>
  <c r="J637" i="13"/>
  <c r="I637" i="13"/>
  <c r="H637" i="13"/>
  <c r="G637" i="13"/>
  <c r="F637" i="13"/>
  <c r="E637" i="13"/>
  <c r="J635" i="13"/>
  <c r="I635" i="13"/>
  <c r="H635" i="13"/>
  <c r="G635" i="13"/>
  <c r="F635" i="13"/>
  <c r="E635" i="13"/>
  <c r="J634" i="13"/>
  <c r="I634" i="13"/>
  <c r="H634" i="13"/>
  <c r="G634" i="13"/>
  <c r="F634" i="13"/>
  <c r="E634" i="13"/>
  <c r="G631" i="13"/>
  <c r="G64" i="13" s="1"/>
  <c r="J630" i="13"/>
  <c r="H630" i="13"/>
  <c r="I627" i="13"/>
  <c r="F627" i="13"/>
  <c r="H626" i="13"/>
  <c r="E625" i="13"/>
  <c r="G622" i="13"/>
  <c r="J621" i="13"/>
  <c r="G621" i="13"/>
  <c r="F621" i="13"/>
  <c r="E621" i="13"/>
  <c r="H620" i="13"/>
  <c r="G620" i="13"/>
  <c r="F620" i="13"/>
  <c r="E620" i="13"/>
  <c r="I619" i="13"/>
  <c r="G619" i="13"/>
  <c r="F619" i="13"/>
  <c r="E619" i="13"/>
  <c r="I618" i="13"/>
  <c r="G618" i="13"/>
  <c r="F618" i="13"/>
  <c r="E618" i="13"/>
  <c r="G617" i="13"/>
  <c r="F617" i="13"/>
  <c r="E617" i="13"/>
  <c r="H616" i="13"/>
  <c r="G616" i="13"/>
  <c r="F616" i="13"/>
  <c r="E616" i="13"/>
  <c r="G615" i="13"/>
  <c r="F615" i="13"/>
  <c r="E615" i="13"/>
  <c r="F613" i="13"/>
  <c r="F62" i="13" s="1"/>
  <c r="H612" i="13"/>
  <c r="G612" i="13"/>
  <c r="F612" i="13"/>
  <c r="E612" i="13"/>
  <c r="G611" i="13"/>
  <c r="F611" i="13"/>
  <c r="E611" i="13"/>
  <c r="H610" i="13"/>
  <c r="G610" i="13"/>
  <c r="F610" i="13"/>
  <c r="E610" i="13"/>
  <c r="J609" i="13"/>
  <c r="G609" i="13"/>
  <c r="F609" i="13"/>
  <c r="E609" i="13"/>
  <c r="G608" i="13"/>
  <c r="G613" i="13" s="1"/>
  <c r="G62" i="13" s="1"/>
  <c r="F608" i="13"/>
  <c r="E608" i="13"/>
  <c r="J607" i="13"/>
  <c r="G607" i="13"/>
  <c r="F607" i="13"/>
  <c r="E607" i="13"/>
  <c r="H606" i="13"/>
  <c r="G606" i="13"/>
  <c r="F606" i="13"/>
  <c r="E606" i="13"/>
  <c r="J603" i="13"/>
  <c r="G603" i="13"/>
  <c r="F603" i="13"/>
  <c r="E603" i="13"/>
  <c r="G602" i="13"/>
  <c r="F602" i="13"/>
  <c r="E602" i="13"/>
  <c r="I601" i="13"/>
  <c r="G601" i="13"/>
  <c r="F601" i="13"/>
  <c r="E601" i="13"/>
  <c r="I600" i="13"/>
  <c r="G600" i="13"/>
  <c r="F600" i="13"/>
  <c r="E600" i="13"/>
  <c r="J599" i="13"/>
  <c r="G599" i="13"/>
  <c r="G604" i="13" s="1"/>
  <c r="F599" i="13"/>
  <c r="E599" i="13"/>
  <c r="H598" i="13"/>
  <c r="G598" i="13"/>
  <c r="F598" i="13"/>
  <c r="E598" i="13"/>
  <c r="H597" i="13"/>
  <c r="G597" i="13"/>
  <c r="F597" i="13"/>
  <c r="E597" i="13"/>
  <c r="F595" i="13"/>
  <c r="F60" i="13" s="1"/>
  <c r="J594" i="13"/>
  <c r="G594" i="13"/>
  <c r="F594" i="13"/>
  <c r="E594" i="13"/>
  <c r="I593" i="13"/>
  <c r="G593" i="13"/>
  <c r="F593" i="13"/>
  <c r="E593" i="13"/>
  <c r="G592" i="13"/>
  <c r="F592" i="13"/>
  <c r="E592" i="13"/>
  <c r="I591" i="13"/>
  <c r="G591" i="13"/>
  <c r="F591" i="13"/>
  <c r="E591" i="13"/>
  <c r="H590" i="13"/>
  <c r="G590" i="13"/>
  <c r="F590" i="13"/>
  <c r="E590" i="13"/>
  <c r="H589" i="13"/>
  <c r="G589" i="13"/>
  <c r="F589" i="13"/>
  <c r="E589" i="13"/>
  <c r="J588" i="13"/>
  <c r="G588" i="13"/>
  <c r="G595" i="13" s="1"/>
  <c r="F588" i="13"/>
  <c r="E588" i="13"/>
  <c r="E556" i="13"/>
  <c r="A555" i="13"/>
  <c r="A554" i="13"/>
  <c r="A553" i="13"/>
  <c r="G542" i="13"/>
  <c r="J541" i="13"/>
  <c r="I541" i="13"/>
  <c r="I630" i="13" s="1"/>
  <c r="H541" i="13"/>
  <c r="G541" i="13"/>
  <c r="G630" i="13" s="1"/>
  <c r="F541" i="13"/>
  <c r="F630" i="13" s="1"/>
  <c r="E541" i="13"/>
  <c r="E630" i="13" s="1"/>
  <c r="G534" i="13"/>
  <c r="F534" i="13"/>
  <c r="E534" i="13"/>
  <c r="E542" i="13" s="1"/>
  <c r="E55" i="13" s="1"/>
  <c r="I621" i="13"/>
  <c r="H621" i="13"/>
  <c r="J612" i="13"/>
  <c r="I612" i="13"/>
  <c r="H603" i="13"/>
  <c r="I594" i="13"/>
  <c r="J525" i="13"/>
  <c r="I525" i="13"/>
  <c r="H525" i="13"/>
  <c r="G525" i="13"/>
  <c r="G45" i="13" s="1"/>
  <c r="F525" i="13"/>
  <c r="E525" i="13"/>
  <c r="I506" i="13"/>
  <c r="E489" i="13"/>
  <c r="E488" i="13"/>
  <c r="D488" i="13"/>
  <c r="A488" i="13"/>
  <c r="J487" i="13"/>
  <c r="I487" i="13"/>
  <c r="F487" i="13"/>
  <c r="E487" i="13"/>
  <c r="D487" i="13"/>
  <c r="A487" i="13"/>
  <c r="J486" i="13"/>
  <c r="I486" i="13"/>
  <c r="F486" i="13"/>
  <c r="E486" i="13"/>
  <c r="D486" i="13"/>
  <c r="A486" i="13"/>
  <c r="F475" i="13"/>
  <c r="F54" i="13" s="1"/>
  <c r="J474" i="13"/>
  <c r="J629" i="13" s="1"/>
  <c r="I474" i="13"/>
  <c r="I629" i="13" s="1"/>
  <c r="H474" i="13"/>
  <c r="H629" i="13" s="1"/>
  <c r="G474" i="13"/>
  <c r="G629" i="13" s="1"/>
  <c r="F474" i="13"/>
  <c r="F629" i="13" s="1"/>
  <c r="E474" i="13"/>
  <c r="E629" i="13" s="1"/>
  <c r="J467" i="13"/>
  <c r="J475" i="13" s="1"/>
  <c r="J54" i="13" s="1"/>
  <c r="H467" i="13"/>
  <c r="H475" i="13" s="1"/>
  <c r="H54" i="13" s="1"/>
  <c r="G467" i="13"/>
  <c r="G475" i="13" s="1"/>
  <c r="F467" i="13"/>
  <c r="E467" i="13"/>
  <c r="E475" i="13" s="1"/>
  <c r="J620" i="13"/>
  <c r="I620" i="13"/>
  <c r="J611" i="13"/>
  <c r="I611" i="13"/>
  <c r="H611" i="13"/>
  <c r="J602" i="13"/>
  <c r="I602" i="13"/>
  <c r="H602" i="13"/>
  <c r="J593" i="13"/>
  <c r="H593" i="13"/>
  <c r="J458" i="13"/>
  <c r="J44" i="13" s="1"/>
  <c r="I458" i="13"/>
  <c r="H458" i="13"/>
  <c r="G458" i="13"/>
  <c r="F458" i="13"/>
  <c r="E458" i="13"/>
  <c r="F439" i="13"/>
  <c r="J423" i="13"/>
  <c r="I423" i="13"/>
  <c r="F423" i="13"/>
  <c r="E423" i="13"/>
  <c r="D423" i="13"/>
  <c r="A423" i="13"/>
  <c r="J422" i="13"/>
  <c r="I422" i="13"/>
  <c r="F422" i="13"/>
  <c r="E422" i="13"/>
  <c r="D422" i="13"/>
  <c r="A422" i="13"/>
  <c r="J421" i="13"/>
  <c r="I421" i="13"/>
  <c r="F421" i="13"/>
  <c r="E421" i="13"/>
  <c r="D421" i="13"/>
  <c r="A421" i="13"/>
  <c r="J420" i="13"/>
  <c r="I420" i="13"/>
  <c r="F420" i="13"/>
  <c r="E420" i="13"/>
  <c r="D420" i="13"/>
  <c r="A420" i="13"/>
  <c r="J419" i="13"/>
  <c r="I419" i="13"/>
  <c r="F419" i="13"/>
  <c r="E419" i="13"/>
  <c r="J424" i="13" s="1"/>
  <c r="D419" i="13"/>
  <c r="A419" i="13"/>
  <c r="G409" i="13"/>
  <c r="G53" i="13" s="1"/>
  <c r="J408" i="13"/>
  <c r="J628" i="13" s="1"/>
  <c r="I408" i="13"/>
  <c r="I628" i="13" s="1"/>
  <c r="G408" i="13"/>
  <c r="G628" i="13" s="1"/>
  <c r="F408" i="13"/>
  <c r="F628" i="13" s="1"/>
  <c r="E408" i="13"/>
  <c r="J402" i="13"/>
  <c r="I402" i="13"/>
  <c r="H402" i="13"/>
  <c r="H408" i="13" s="1"/>
  <c r="H628" i="13" s="1"/>
  <c r="J400" i="13"/>
  <c r="J409" i="13" s="1"/>
  <c r="J53" i="13" s="1"/>
  <c r="G400" i="13"/>
  <c r="F400" i="13"/>
  <c r="F409" i="13" s="1"/>
  <c r="E400" i="13"/>
  <c r="J619" i="13"/>
  <c r="J610" i="13"/>
  <c r="I610" i="13"/>
  <c r="J601" i="13"/>
  <c r="H601" i="13"/>
  <c r="J592" i="13"/>
  <c r="H592" i="13"/>
  <c r="J391" i="13"/>
  <c r="J43" i="13" s="1"/>
  <c r="I391" i="13"/>
  <c r="H391" i="13"/>
  <c r="H43" i="13" s="1"/>
  <c r="G391" i="13"/>
  <c r="F391" i="13"/>
  <c r="F43" i="13" s="1"/>
  <c r="E391" i="13"/>
  <c r="F368" i="13"/>
  <c r="E357" i="13"/>
  <c r="E356" i="13"/>
  <c r="D356" i="13"/>
  <c r="A356" i="13"/>
  <c r="J355" i="13"/>
  <c r="I355" i="13"/>
  <c r="F355" i="13"/>
  <c r="E355" i="13"/>
  <c r="D355" i="13"/>
  <c r="A355" i="13"/>
  <c r="J354" i="13"/>
  <c r="I354" i="13"/>
  <c r="F354" i="13"/>
  <c r="E354" i="13"/>
  <c r="D354" i="13"/>
  <c r="A354" i="13"/>
  <c r="J353" i="13"/>
  <c r="I353" i="13"/>
  <c r="F353" i="13"/>
  <c r="E353" i="13"/>
  <c r="D353" i="13"/>
  <c r="A353" i="13"/>
  <c r="J352" i="13"/>
  <c r="I352" i="13"/>
  <c r="F352" i="13"/>
  <c r="E352" i="13"/>
  <c r="D352" i="13"/>
  <c r="A352" i="13"/>
  <c r="J351" i="13"/>
  <c r="I351" i="13"/>
  <c r="F351" i="13"/>
  <c r="E351" i="13"/>
  <c r="D351" i="13"/>
  <c r="A351" i="13"/>
  <c r="J347" i="13"/>
  <c r="J636" i="13" s="1"/>
  <c r="I347" i="13"/>
  <c r="I636" i="13" s="1"/>
  <c r="H347" i="13"/>
  <c r="H636" i="13" s="1"/>
  <c r="G347" i="13"/>
  <c r="G636" i="13" s="1"/>
  <c r="F347" i="13"/>
  <c r="F636" i="13" s="1"/>
  <c r="E347" i="13"/>
  <c r="E636" i="13" s="1"/>
  <c r="E341" i="13"/>
  <c r="J340" i="13"/>
  <c r="J627" i="13" s="1"/>
  <c r="I340" i="13"/>
  <c r="H340" i="13"/>
  <c r="H627" i="13" s="1"/>
  <c r="G340" i="13"/>
  <c r="G627" i="13" s="1"/>
  <c r="F340" i="13"/>
  <c r="E340" i="13"/>
  <c r="E627" i="13" s="1"/>
  <c r="G332" i="13"/>
  <c r="G341" i="13" s="1"/>
  <c r="G52" i="13" s="1"/>
  <c r="F332" i="13"/>
  <c r="F341" i="13" s="1"/>
  <c r="F52" i="13" s="1"/>
  <c r="E332" i="13"/>
  <c r="J618" i="13"/>
  <c r="H618" i="13"/>
  <c r="I609" i="13"/>
  <c r="H609" i="13"/>
  <c r="H600" i="13"/>
  <c r="J591" i="13"/>
  <c r="I332" i="13"/>
  <c r="I341" i="13" s="1"/>
  <c r="I52" i="13" s="1"/>
  <c r="H591" i="13"/>
  <c r="J323" i="13"/>
  <c r="I323" i="13"/>
  <c r="H323" i="13"/>
  <c r="H42" i="13" s="1"/>
  <c r="G323" i="13"/>
  <c r="F323" i="13"/>
  <c r="F42" i="13" s="1"/>
  <c r="E323" i="13"/>
  <c r="J290" i="13"/>
  <c r="I290" i="13"/>
  <c r="F290" i="13"/>
  <c r="E290" i="13"/>
  <c r="D290" i="13"/>
  <c r="A290" i="13"/>
  <c r="J289" i="13"/>
  <c r="I289" i="13"/>
  <c r="F289" i="13"/>
  <c r="E289" i="13"/>
  <c r="D289" i="13"/>
  <c r="A289" i="13"/>
  <c r="J288" i="13"/>
  <c r="I288" i="13"/>
  <c r="F288" i="13"/>
  <c r="E288" i="13"/>
  <c r="D288" i="13"/>
  <c r="A288" i="13"/>
  <c r="J287" i="13"/>
  <c r="I287" i="13"/>
  <c r="F287" i="13"/>
  <c r="E287" i="13"/>
  <c r="D287" i="13"/>
  <c r="A287" i="13"/>
  <c r="J286" i="13"/>
  <c r="I286" i="13"/>
  <c r="F286" i="13"/>
  <c r="E286" i="13"/>
  <c r="D286" i="13"/>
  <c r="A286" i="13"/>
  <c r="J285" i="13"/>
  <c r="I285" i="13"/>
  <c r="F285" i="13"/>
  <c r="E285" i="13"/>
  <c r="D285" i="13"/>
  <c r="A285" i="13"/>
  <c r="J272" i="13"/>
  <c r="J626" i="13" s="1"/>
  <c r="I272" i="13"/>
  <c r="I626" i="13" s="1"/>
  <c r="H272" i="13"/>
  <c r="G272" i="13"/>
  <c r="G626" i="13" s="1"/>
  <c r="F272" i="13"/>
  <c r="E272" i="13"/>
  <c r="E626" i="13" s="1"/>
  <c r="F269" i="13"/>
  <c r="G263" i="13"/>
  <c r="G273" i="13" s="1"/>
  <c r="F263" i="13"/>
  <c r="E263" i="13"/>
  <c r="E273" i="13" s="1"/>
  <c r="J617" i="13"/>
  <c r="I617" i="13"/>
  <c r="H617" i="13"/>
  <c r="J608" i="13"/>
  <c r="I608" i="13"/>
  <c r="H608" i="13"/>
  <c r="I599" i="13"/>
  <c r="H599" i="13"/>
  <c r="J263" i="13"/>
  <c r="J273" i="13" s="1"/>
  <c r="J51" i="13" s="1"/>
  <c r="I590" i="13"/>
  <c r="H263" i="13"/>
  <c r="H273" i="13" s="1"/>
  <c r="H51" i="13" s="1"/>
  <c r="J254" i="13"/>
  <c r="I254" i="13"/>
  <c r="H254" i="13"/>
  <c r="G254" i="13"/>
  <c r="G41" i="13" s="1"/>
  <c r="F254" i="13"/>
  <c r="E254" i="13"/>
  <c r="I230" i="13"/>
  <c r="I568" i="13" s="1"/>
  <c r="E216" i="13"/>
  <c r="D216" i="13"/>
  <c r="A216" i="13"/>
  <c r="J215" i="13"/>
  <c r="I215" i="13"/>
  <c r="F215" i="13"/>
  <c r="E215" i="13"/>
  <c r="D215" i="13"/>
  <c r="A215" i="13"/>
  <c r="J214" i="13"/>
  <c r="I214" i="13"/>
  <c r="F214" i="13"/>
  <c r="E214" i="13"/>
  <c r="D214" i="13"/>
  <c r="A214" i="13"/>
  <c r="J213" i="13"/>
  <c r="I213" i="13"/>
  <c r="F213" i="13"/>
  <c r="E213" i="13"/>
  <c r="D213" i="13"/>
  <c r="A213" i="13"/>
  <c r="J212" i="13"/>
  <c r="I212" i="13"/>
  <c r="F212" i="13"/>
  <c r="E212" i="13"/>
  <c r="D212" i="13"/>
  <c r="A212" i="13"/>
  <c r="J211" i="13"/>
  <c r="I211" i="13"/>
  <c r="F211" i="13"/>
  <c r="E211" i="13"/>
  <c r="D211" i="13"/>
  <c r="A211" i="13"/>
  <c r="J210" i="13"/>
  <c r="I210" i="13"/>
  <c r="F210" i="13"/>
  <c r="E210" i="13"/>
  <c r="D210" i="13"/>
  <c r="A210" i="13"/>
  <c r="J209" i="13"/>
  <c r="I209" i="13"/>
  <c r="F209" i="13"/>
  <c r="E209" i="13"/>
  <c r="D209" i="13"/>
  <c r="A209" i="13"/>
  <c r="J208" i="13"/>
  <c r="I208" i="13"/>
  <c r="F208" i="13"/>
  <c r="E208" i="13"/>
  <c r="D208" i="13"/>
  <c r="A208" i="13"/>
  <c r="J207" i="13"/>
  <c r="I207" i="13"/>
  <c r="F207" i="13"/>
  <c r="E207" i="13"/>
  <c r="D207" i="13"/>
  <c r="A207" i="13"/>
  <c r="E196" i="13"/>
  <c r="G195" i="13"/>
  <c r="G625" i="13" s="1"/>
  <c r="F195" i="13"/>
  <c r="E195" i="13"/>
  <c r="J192" i="13"/>
  <c r="I192" i="13"/>
  <c r="H192" i="13"/>
  <c r="J191" i="13"/>
  <c r="I191" i="13"/>
  <c r="H191" i="13"/>
  <c r="H190" i="13"/>
  <c r="J189" i="13"/>
  <c r="J195" i="13" s="1"/>
  <c r="J625" i="13" s="1"/>
  <c r="I189" i="13"/>
  <c r="H189" i="13"/>
  <c r="G187" i="13"/>
  <c r="G196" i="13" s="1"/>
  <c r="F187" i="13"/>
  <c r="E187" i="13"/>
  <c r="J616" i="13"/>
  <c r="I616" i="13"/>
  <c r="I607" i="13"/>
  <c r="H607" i="13"/>
  <c r="J598" i="13"/>
  <c r="I598" i="13"/>
  <c r="H187" i="13"/>
  <c r="I589" i="13"/>
  <c r="J178" i="13"/>
  <c r="I178" i="13"/>
  <c r="H178" i="13"/>
  <c r="G178" i="13"/>
  <c r="F178" i="13"/>
  <c r="F40" i="13" s="1"/>
  <c r="E178" i="13"/>
  <c r="I303" i="13"/>
  <c r="F506" i="13"/>
  <c r="J139" i="13"/>
  <c r="I139" i="13"/>
  <c r="F139" i="13"/>
  <c r="E139" i="13"/>
  <c r="D139" i="13"/>
  <c r="A139" i="13"/>
  <c r="J138" i="13"/>
  <c r="I138" i="13"/>
  <c r="F138" i="13"/>
  <c r="E138" i="13"/>
  <c r="D138" i="13"/>
  <c r="A138" i="13"/>
  <c r="J137" i="13"/>
  <c r="I137" i="13"/>
  <c r="F137" i="13"/>
  <c r="E137" i="13"/>
  <c r="D137" i="13"/>
  <c r="A137" i="13"/>
  <c r="J136" i="13"/>
  <c r="I136" i="13"/>
  <c r="F136" i="13"/>
  <c r="E136" i="13"/>
  <c r="D136" i="13"/>
  <c r="A136" i="13"/>
  <c r="J135" i="13"/>
  <c r="I135" i="13"/>
  <c r="F135" i="13"/>
  <c r="E135" i="13"/>
  <c r="D135" i="13"/>
  <c r="A135" i="13"/>
  <c r="J131" i="13"/>
  <c r="J633" i="13" s="1"/>
  <c r="J640" i="13" s="1"/>
  <c r="I131" i="13"/>
  <c r="I633" i="13" s="1"/>
  <c r="I640" i="13" s="1"/>
  <c r="G131" i="13"/>
  <c r="G633" i="13" s="1"/>
  <c r="G640" i="13" s="1"/>
  <c r="F131" i="13"/>
  <c r="E131" i="13"/>
  <c r="E633" i="13" s="1"/>
  <c r="H129" i="13"/>
  <c r="H128" i="13"/>
  <c r="H74" i="13" s="1"/>
  <c r="J118" i="13"/>
  <c r="J49" i="13" s="1"/>
  <c r="F118" i="13"/>
  <c r="H117" i="13"/>
  <c r="H624" i="13" s="1"/>
  <c r="G117" i="13"/>
  <c r="G624" i="13" s="1"/>
  <c r="F117" i="13"/>
  <c r="F624" i="13" s="1"/>
  <c r="E117" i="13"/>
  <c r="E624" i="13" s="1"/>
  <c r="J114" i="13"/>
  <c r="J117" i="13" s="1"/>
  <c r="J624" i="13" s="1"/>
  <c r="J631" i="13" s="1"/>
  <c r="J64" i="13" s="1"/>
  <c r="I114" i="13"/>
  <c r="I117" i="13" s="1"/>
  <c r="I624" i="13" s="1"/>
  <c r="H114" i="13"/>
  <c r="G103" i="13"/>
  <c r="G118" i="13" s="1"/>
  <c r="G49" i="13" s="1"/>
  <c r="G56" i="13" s="1"/>
  <c r="F103" i="13"/>
  <c r="E103" i="13"/>
  <c r="E118" i="13" s="1"/>
  <c r="E49" i="13" s="1"/>
  <c r="J615" i="13"/>
  <c r="I615" i="13"/>
  <c r="I622" i="13" s="1"/>
  <c r="I63" i="13" s="1"/>
  <c r="H615" i="13"/>
  <c r="J606" i="13"/>
  <c r="I606" i="13"/>
  <c r="J597" i="13"/>
  <c r="J103" i="13"/>
  <c r="I588" i="13"/>
  <c r="H588" i="13"/>
  <c r="J94" i="13"/>
  <c r="I94" i="13"/>
  <c r="H94" i="13"/>
  <c r="H39" i="13" s="1"/>
  <c r="G94" i="13"/>
  <c r="F94" i="13"/>
  <c r="E94" i="13"/>
  <c r="E39" i="13" s="1"/>
  <c r="E77" i="13"/>
  <c r="J76" i="13"/>
  <c r="I76" i="13"/>
  <c r="H76" i="13"/>
  <c r="G76" i="13"/>
  <c r="F76" i="13"/>
  <c r="E76" i="13"/>
  <c r="C76" i="13"/>
  <c r="B76" i="13"/>
  <c r="A76" i="13"/>
  <c r="J75" i="13"/>
  <c r="I75" i="13"/>
  <c r="H75" i="13"/>
  <c r="G75" i="13"/>
  <c r="F75" i="13"/>
  <c r="E75" i="13"/>
  <c r="C75" i="13"/>
  <c r="B75" i="13"/>
  <c r="A75" i="13"/>
  <c r="J74" i="13"/>
  <c r="I74" i="13"/>
  <c r="G74" i="13"/>
  <c r="F74" i="13"/>
  <c r="E74" i="13"/>
  <c r="C74" i="13"/>
  <c r="B74" i="13"/>
  <c r="A74" i="13"/>
  <c r="J73" i="13"/>
  <c r="I73" i="13"/>
  <c r="H73" i="13"/>
  <c r="G73" i="13"/>
  <c r="F73" i="13"/>
  <c r="E73" i="13"/>
  <c r="C73" i="13"/>
  <c r="B73" i="13"/>
  <c r="A73" i="13"/>
  <c r="J72" i="13"/>
  <c r="I72" i="13"/>
  <c r="H72" i="13"/>
  <c r="G72" i="13"/>
  <c r="G77" i="13" s="1"/>
  <c r="F72" i="13"/>
  <c r="E72" i="13"/>
  <c r="C72" i="13"/>
  <c r="B72" i="13"/>
  <c r="A72" i="13"/>
  <c r="J71" i="13"/>
  <c r="I71" i="13"/>
  <c r="H71" i="13"/>
  <c r="G71" i="13"/>
  <c r="F71" i="13"/>
  <c r="E71" i="13"/>
  <c r="C71" i="13"/>
  <c r="B71" i="13"/>
  <c r="A71" i="13"/>
  <c r="J70" i="13"/>
  <c r="I70" i="13"/>
  <c r="I77" i="13" s="1"/>
  <c r="H70" i="13"/>
  <c r="G70" i="13"/>
  <c r="F70" i="13"/>
  <c r="E70" i="13"/>
  <c r="C70" i="13"/>
  <c r="B70" i="13"/>
  <c r="A70" i="13"/>
  <c r="J69" i="13"/>
  <c r="J77" i="13" s="1"/>
  <c r="I69" i="13"/>
  <c r="H69" i="13"/>
  <c r="G69" i="13"/>
  <c r="F69" i="13"/>
  <c r="E69" i="13"/>
  <c r="C69" i="13"/>
  <c r="B69" i="13"/>
  <c r="A69" i="13"/>
  <c r="G63" i="13"/>
  <c r="G61" i="13"/>
  <c r="G60" i="13"/>
  <c r="G55" i="13"/>
  <c r="G54" i="13"/>
  <c r="E54" i="13"/>
  <c r="F53" i="13"/>
  <c r="E52" i="13"/>
  <c r="G51" i="13"/>
  <c r="E51" i="13"/>
  <c r="G50" i="13"/>
  <c r="E50" i="13"/>
  <c r="J45" i="13"/>
  <c r="I45" i="13"/>
  <c r="H45" i="13"/>
  <c r="F45" i="13"/>
  <c r="E45" i="13"/>
  <c r="I44" i="13"/>
  <c r="H44" i="13"/>
  <c r="G44" i="13"/>
  <c r="F44" i="13"/>
  <c r="E44" i="13"/>
  <c r="I43" i="13"/>
  <c r="G43" i="13"/>
  <c r="E43" i="13"/>
  <c r="J42" i="13"/>
  <c r="I42" i="13"/>
  <c r="G42" i="13"/>
  <c r="E42" i="13"/>
  <c r="J41" i="13"/>
  <c r="I41" i="13"/>
  <c r="H41" i="13"/>
  <c r="F41" i="13"/>
  <c r="E41" i="13"/>
  <c r="E46" i="13" s="1"/>
  <c r="J40" i="13"/>
  <c r="I40" i="13"/>
  <c r="H40" i="13"/>
  <c r="G40" i="13"/>
  <c r="E40" i="13"/>
  <c r="J39" i="13"/>
  <c r="I39" i="13"/>
  <c r="G39" i="13"/>
  <c r="F39" i="13"/>
  <c r="G725" i="12"/>
  <c r="J716" i="12"/>
  <c r="J697" i="12"/>
  <c r="H693" i="12"/>
  <c r="H679" i="12"/>
  <c r="J678" i="12"/>
  <c r="I678" i="12"/>
  <c r="H678" i="12"/>
  <c r="G678" i="12"/>
  <c r="F678" i="12"/>
  <c r="E678" i="12"/>
  <c r="J677" i="12"/>
  <c r="I677" i="12"/>
  <c r="H677" i="12"/>
  <c r="G677" i="12"/>
  <c r="F677" i="12"/>
  <c r="E677" i="12"/>
  <c r="J676" i="12"/>
  <c r="I676" i="12"/>
  <c r="H676" i="12"/>
  <c r="G676" i="12"/>
  <c r="F676" i="12"/>
  <c r="E676" i="12"/>
  <c r="J675" i="12"/>
  <c r="I675" i="12"/>
  <c r="H675" i="12"/>
  <c r="G675" i="12"/>
  <c r="F675" i="12"/>
  <c r="E675" i="12"/>
  <c r="J674" i="12"/>
  <c r="I674" i="12"/>
  <c r="H674" i="12"/>
  <c r="G674" i="12"/>
  <c r="F674" i="12"/>
  <c r="E674" i="12"/>
  <c r="F673" i="12"/>
  <c r="J672" i="12"/>
  <c r="I672" i="12"/>
  <c r="H672" i="12"/>
  <c r="G672" i="12"/>
  <c r="F672" i="12"/>
  <c r="E672" i="12"/>
  <c r="H669" i="12"/>
  <c r="G669" i="12"/>
  <c r="F669" i="12"/>
  <c r="F668" i="12"/>
  <c r="F667" i="12"/>
  <c r="F666" i="12"/>
  <c r="F663" i="12"/>
  <c r="J660" i="12"/>
  <c r="H660" i="12"/>
  <c r="G660" i="12"/>
  <c r="F660" i="12"/>
  <c r="E660" i="12"/>
  <c r="H659" i="12"/>
  <c r="G659" i="12"/>
  <c r="F659" i="12"/>
  <c r="E659" i="12"/>
  <c r="J658" i="12"/>
  <c r="H658" i="12"/>
  <c r="G658" i="12"/>
  <c r="F658" i="12"/>
  <c r="E658" i="12"/>
  <c r="I657" i="12"/>
  <c r="G657" i="12"/>
  <c r="F657" i="12"/>
  <c r="E657" i="12"/>
  <c r="G656" i="12"/>
  <c r="F656" i="12"/>
  <c r="E656" i="12"/>
  <c r="G655" i="12"/>
  <c r="F655" i="12"/>
  <c r="E655" i="12"/>
  <c r="E661" i="12" s="1"/>
  <c r="G654" i="12"/>
  <c r="F654" i="12"/>
  <c r="F661" i="12" s="1"/>
  <c r="E654" i="12"/>
  <c r="G651" i="12"/>
  <c r="F651" i="12"/>
  <c r="E651" i="12"/>
  <c r="H650" i="12"/>
  <c r="G650" i="12"/>
  <c r="F650" i="12"/>
  <c r="E650" i="12"/>
  <c r="J649" i="12"/>
  <c r="H649" i="12"/>
  <c r="G649" i="12"/>
  <c r="F649" i="12"/>
  <c r="E649" i="12"/>
  <c r="G648" i="12"/>
  <c r="F648" i="12"/>
  <c r="E648" i="12"/>
  <c r="H647" i="12"/>
  <c r="G647" i="12"/>
  <c r="F647" i="12"/>
  <c r="E647" i="12"/>
  <c r="H646" i="12"/>
  <c r="G646" i="12"/>
  <c r="F646" i="12"/>
  <c r="E646" i="12"/>
  <c r="E652" i="12" s="1"/>
  <c r="E49" i="12" s="1"/>
  <c r="G645" i="12"/>
  <c r="F645" i="12"/>
  <c r="E645" i="12"/>
  <c r="J642" i="12"/>
  <c r="H642" i="12"/>
  <c r="G642" i="12"/>
  <c r="F642" i="12"/>
  <c r="E642" i="12"/>
  <c r="H641" i="12"/>
  <c r="G641" i="12"/>
  <c r="F641" i="12"/>
  <c r="E641" i="12"/>
  <c r="J640" i="12"/>
  <c r="H640" i="12"/>
  <c r="G640" i="12"/>
  <c r="F640" i="12"/>
  <c r="E640" i="12"/>
  <c r="G639" i="12"/>
  <c r="F639" i="12"/>
  <c r="E639" i="12"/>
  <c r="H638" i="12"/>
  <c r="G638" i="12"/>
  <c r="F638" i="12"/>
  <c r="E638" i="12"/>
  <c r="J637" i="12"/>
  <c r="G637" i="12"/>
  <c r="F637" i="12"/>
  <c r="E637" i="12"/>
  <c r="E643" i="12" s="1"/>
  <c r="E48" i="12" s="1"/>
  <c r="G636" i="12"/>
  <c r="F636" i="12"/>
  <c r="E636" i="12"/>
  <c r="F634" i="12"/>
  <c r="F47" i="12" s="1"/>
  <c r="G633" i="12"/>
  <c r="F633" i="12"/>
  <c r="E633" i="12"/>
  <c r="J632" i="12"/>
  <c r="H632" i="12"/>
  <c r="G632" i="12"/>
  <c r="F632" i="12"/>
  <c r="E632" i="12"/>
  <c r="J631" i="12"/>
  <c r="G631" i="12"/>
  <c r="F631" i="12"/>
  <c r="E631" i="12"/>
  <c r="J630" i="12"/>
  <c r="I630" i="12"/>
  <c r="G630" i="12"/>
  <c r="F630" i="12"/>
  <c r="E630" i="12"/>
  <c r="G629" i="12"/>
  <c r="F629" i="12"/>
  <c r="E629" i="12"/>
  <c r="J628" i="12"/>
  <c r="G628" i="12"/>
  <c r="F628" i="12"/>
  <c r="E628" i="12"/>
  <c r="E634" i="12" s="1"/>
  <c r="H627" i="12"/>
  <c r="G627" i="12"/>
  <c r="F627" i="12"/>
  <c r="E627" i="12"/>
  <c r="J614" i="12"/>
  <c r="G614" i="12"/>
  <c r="E601" i="12"/>
  <c r="D601" i="12"/>
  <c r="A601" i="12"/>
  <c r="E600" i="12"/>
  <c r="D600" i="12"/>
  <c r="A600" i="12"/>
  <c r="E599" i="12"/>
  <c r="E602" i="12" s="1"/>
  <c r="D599" i="12"/>
  <c r="A599" i="12"/>
  <c r="J588" i="12"/>
  <c r="J669" i="12" s="1"/>
  <c r="I588" i="12"/>
  <c r="I669" i="12" s="1"/>
  <c r="H588" i="12"/>
  <c r="G588" i="12"/>
  <c r="F588" i="12"/>
  <c r="E588" i="12"/>
  <c r="E669" i="12" s="1"/>
  <c r="G576" i="12"/>
  <c r="G589" i="12" s="1"/>
  <c r="G42" i="12" s="1"/>
  <c r="F576" i="12"/>
  <c r="F589" i="12" s="1"/>
  <c r="E576" i="12"/>
  <c r="E589" i="12" s="1"/>
  <c r="E42" i="12" s="1"/>
  <c r="I660" i="12"/>
  <c r="J651" i="12"/>
  <c r="I651" i="12"/>
  <c r="I633" i="12"/>
  <c r="H633" i="12"/>
  <c r="J567" i="12"/>
  <c r="I567" i="12"/>
  <c r="H567" i="12"/>
  <c r="G567" i="12"/>
  <c r="G32" i="12" s="1"/>
  <c r="F567" i="12"/>
  <c r="E567" i="12"/>
  <c r="J542" i="12"/>
  <c r="I542" i="12"/>
  <c r="F542" i="12"/>
  <c r="E542" i="12"/>
  <c r="D542" i="12"/>
  <c r="A542" i="12"/>
  <c r="J541" i="12"/>
  <c r="I541" i="12"/>
  <c r="F541" i="12"/>
  <c r="E541" i="12"/>
  <c r="D541" i="12"/>
  <c r="A541" i="12"/>
  <c r="J540" i="12"/>
  <c r="I540" i="12"/>
  <c r="F540" i="12"/>
  <c r="E540" i="12"/>
  <c r="J543" i="12" s="1"/>
  <c r="D540" i="12"/>
  <c r="A540" i="12"/>
  <c r="E530" i="12"/>
  <c r="H529" i="12"/>
  <c r="H668" i="12" s="1"/>
  <c r="G529" i="12"/>
  <c r="G668" i="12" s="1"/>
  <c r="F529" i="12"/>
  <c r="E529" i="12"/>
  <c r="E668" i="12" s="1"/>
  <c r="J527" i="12"/>
  <c r="J529" i="12" s="1"/>
  <c r="J668" i="12" s="1"/>
  <c r="I527" i="12"/>
  <c r="I529" i="12" s="1"/>
  <c r="I668" i="12" s="1"/>
  <c r="H527" i="12"/>
  <c r="H519" i="12"/>
  <c r="H530" i="12" s="1"/>
  <c r="G519" i="12"/>
  <c r="F519" i="12"/>
  <c r="F530" i="12" s="1"/>
  <c r="E519" i="12"/>
  <c r="J659" i="12"/>
  <c r="I659" i="12"/>
  <c r="J650" i="12"/>
  <c r="I650" i="12"/>
  <c r="J641" i="12"/>
  <c r="I641" i="12"/>
  <c r="I632" i="12"/>
  <c r="I510" i="12"/>
  <c r="I31" i="12" s="1"/>
  <c r="G510" i="12"/>
  <c r="F510" i="12"/>
  <c r="E510" i="12"/>
  <c r="J507" i="12"/>
  <c r="J510" i="12" s="1"/>
  <c r="J31" i="12" s="1"/>
  <c r="I507" i="12"/>
  <c r="H507" i="12"/>
  <c r="H510" i="12" s="1"/>
  <c r="H31" i="12" s="1"/>
  <c r="E467" i="12"/>
  <c r="D467" i="12"/>
  <c r="A467" i="12"/>
  <c r="J466" i="12"/>
  <c r="I466" i="12"/>
  <c r="F466" i="12"/>
  <c r="E466" i="12"/>
  <c r="D466" i="12"/>
  <c r="A466" i="12"/>
  <c r="J465" i="12"/>
  <c r="I465" i="12"/>
  <c r="F465" i="12"/>
  <c r="E465" i="12"/>
  <c r="D465" i="12"/>
  <c r="A465" i="12"/>
  <c r="J464" i="12"/>
  <c r="I464" i="12"/>
  <c r="F464" i="12"/>
  <c r="E464" i="12"/>
  <c r="D464" i="12"/>
  <c r="A464" i="12"/>
  <c r="J463" i="12"/>
  <c r="I463" i="12"/>
  <c r="F463" i="12"/>
  <c r="E463" i="12"/>
  <c r="D463" i="12"/>
  <c r="A463" i="12"/>
  <c r="J462" i="12"/>
  <c r="I462" i="12"/>
  <c r="F462" i="12"/>
  <c r="E462" i="12"/>
  <c r="D462" i="12"/>
  <c r="A462" i="12"/>
  <c r="J461" i="12"/>
  <c r="I461" i="12"/>
  <c r="F461" i="12"/>
  <c r="E461" i="12"/>
  <c r="D461" i="12"/>
  <c r="A461" i="12"/>
  <c r="J460" i="12"/>
  <c r="I460" i="12"/>
  <c r="F460" i="12"/>
  <c r="E460" i="12"/>
  <c r="D460" i="12"/>
  <c r="A460" i="12"/>
  <c r="J459" i="12"/>
  <c r="I459" i="12"/>
  <c r="F459" i="12"/>
  <c r="E459" i="12"/>
  <c r="D459" i="12"/>
  <c r="A459" i="12"/>
  <c r="J458" i="12"/>
  <c r="I458" i="12"/>
  <c r="F458" i="12"/>
  <c r="E458" i="12"/>
  <c r="D458" i="12"/>
  <c r="A458" i="12"/>
  <c r="J457" i="12"/>
  <c r="I457" i="12"/>
  <c r="F457" i="12"/>
  <c r="E457" i="12"/>
  <c r="J468" i="12" s="1"/>
  <c r="D457" i="12"/>
  <c r="A457" i="12"/>
  <c r="J456" i="12"/>
  <c r="I456" i="12"/>
  <c r="F456" i="12"/>
  <c r="E456" i="12"/>
  <c r="D456" i="12"/>
  <c r="A456" i="12"/>
  <c r="F446" i="12"/>
  <c r="J445" i="12"/>
  <c r="J667" i="12" s="1"/>
  <c r="G445" i="12"/>
  <c r="G667" i="12" s="1"/>
  <c r="F445" i="12"/>
  <c r="E445" i="12"/>
  <c r="E667" i="12" s="1"/>
  <c r="J442" i="12"/>
  <c r="I442" i="12"/>
  <c r="I445" i="12" s="1"/>
  <c r="I667" i="12" s="1"/>
  <c r="H442" i="12"/>
  <c r="H445" i="12" s="1"/>
  <c r="H667" i="12" s="1"/>
  <c r="I433" i="12"/>
  <c r="I446" i="12" s="1"/>
  <c r="I40" i="12" s="1"/>
  <c r="G433" i="12"/>
  <c r="G446" i="12" s="1"/>
  <c r="F433" i="12"/>
  <c r="E433" i="12"/>
  <c r="E446" i="12" s="1"/>
  <c r="I658" i="12"/>
  <c r="I649" i="12"/>
  <c r="I640" i="12"/>
  <c r="I631" i="12"/>
  <c r="G424" i="12"/>
  <c r="F424" i="12"/>
  <c r="E424" i="12"/>
  <c r="J421" i="12"/>
  <c r="I421" i="12"/>
  <c r="I424" i="12" s="1"/>
  <c r="I30" i="12" s="1"/>
  <c r="H421" i="12"/>
  <c r="J418" i="12"/>
  <c r="J424" i="12" s="1"/>
  <c r="I418" i="12"/>
  <c r="H418" i="12"/>
  <c r="H424" i="12" s="1"/>
  <c r="J389" i="12"/>
  <c r="G389" i="12"/>
  <c r="J377" i="12"/>
  <c r="I377" i="12"/>
  <c r="F377" i="12"/>
  <c r="E377" i="12"/>
  <c r="D377" i="12"/>
  <c r="A377" i="12"/>
  <c r="J376" i="12"/>
  <c r="I376" i="12"/>
  <c r="F376" i="12"/>
  <c r="E376" i="12"/>
  <c r="D376" i="12"/>
  <c r="A376" i="12"/>
  <c r="J375" i="12"/>
  <c r="I375" i="12"/>
  <c r="F375" i="12"/>
  <c r="E375" i="12"/>
  <c r="D375" i="12"/>
  <c r="A375" i="12"/>
  <c r="J374" i="12"/>
  <c r="I374" i="12"/>
  <c r="F374" i="12"/>
  <c r="E374" i="12"/>
  <c r="J378" i="12" s="1"/>
  <c r="D374" i="12"/>
  <c r="A374" i="12"/>
  <c r="G364" i="12"/>
  <c r="F364" i="12"/>
  <c r="F39" i="12" s="1"/>
  <c r="I363" i="12"/>
  <c r="I666" i="12" s="1"/>
  <c r="H363" i="12"/>
  <c r="H666" i="12" s="1"/>
  <c r="G363" i="12"/>
  <c r="G666" i="12" s="1"/>
  <c r="F363" i="12"/>
  <c r="E363" i="12"/>
  <c r="E666" i="12" s="1"/>
  <c r="J357" i="12"/>
  <c r="J363" i="12" s="1"/>
  <c r="J666" i="12" s="1"/>
  <c r="I357" i="12"/>
  <c r="H357" i="12"/>
  <c r="I350" i="12"/>
  <c r="I364" i="12" s="1"/>
  <c r="I39" i="12" s="1"/>
  <c r="G350" i="12"/>
  <c r="F350" i="12"/>
  <c r="E350" i="12"/>
  <c r="J657" i="12"/>
  <c r="H657" i="12"/>
  <c r="J648" i="12"/>
  <c r="I648" i="12"/>
  <c r="H648" i="12"/>
  <c r="J639" i="12"/>
  <c r="I639" i="12"/>
  <c r="H639" i="12"/>
  <c r="J340" i="12"/>
  <c r="I340" i="12"/>
  <c r="I29" i="12" s="1"/>
  <c r="H340" i="12"/>
  <c r="H29" i="12" s="1"/>
  <c r="G340" i="12"/>
  <c r="F340" i="12"/>
  <c r="E340" i="12"/>
  <c r="J309" i="12"/>
  <c r="I309" i="12"/>
  <c r="E293" i="12"/>
  <c r="D293" i="12"/>
  <c r="A293" i="12"/>
  <c r="J292" i="12"/>
  <c r="I292" i="12"/>
  <c r="F292" i="12"/>
  <c r="E292" i="12"/>
  <c r="D292" i="12"/>
  <c r="A292" i="12"/>
  <c r="J291" i="12"/>
  <c r="I291" i="12"/>
  <c r="F291" i="12"/>
  <c r="E291" i="12"/>
  <c r="J294" i="12" s="1"/>
  <c r="D291" i="12"/>
  <c r="A291" i="12"/>
  <c r="E281" i="12"/>
  <c r="J280" i="12"/>
  <c r="J665" i="12" s="1"/>
  <c r="H280" i="12"/>
  <c r="H665" i="12" s="1"/>
  <c r="G280" i="12"/>
  <c r="G665" i="12" s="1"/>
  <c r="F280" i="12"/>
  <c r="F665" i="12" s="1"/>
  <c r="E280" i="12"/>
  <c r="E665" i="12" s="1"/>
  <c r="J271" i="12"/>
  <c r="I271" i="12"/>
  <c r="I280" i="12" s="1"/>
  <c r="I665" i="12" s="1"/>
  <c r="H271" i="12"/>
  <c r="I268" i="12"/>
  <c r="G268" i="12"/>
  <c r="G281" i="12" s="1"/>
  <c r="G38" i="12" s="1"/>
  <c r="F268" i="12"/>
  <c r="E268" i="12"/>
  <c r="J656" i="12"/>
  <c r="I656" i="12"/>
  <c r="H656" i="12"/>
  <c r="I647" i="12"/>
  <c r="J638" i="12"/>
  <c r="I638" i="12"/>
  <c r="J629" i="12"/>
  <c r="I629" i="12"/>
  <c r="J259" i="12"/>
  <c r="I259" i="12"/>
  <c r="I28" i="12" s="1"/>
  <c r="H259" i="12"/>
  <c r="G259" i="12"/>
  <c r="G28" i="12" s="1"/>
  <c r="G33" i="12" s="1"/>
  <c r="F259" i="12"/>
  <c r="E259" i="12"/>
  <c r="H243" i="12"/>
  <c r="J228" i="12"/>
  <c r="I228" i="12"/>
  <c r="F228" i="12"/>
  <c r="E228" i="12"/>
  <c r="D228" i="12"/>
  <c r="A228" i="12"/>
  <c r="J227" i="12"/>
  <c r="I227" i="12"/>
  <c r="F227" i="12"/>
  <c r="E227" i="12"/>
  <c r="D227" i="12"/>
  <c r="A227" i="12"/>
  <c r="J226" i="12"/>
  <c r="I226" i="12"/>
  <c r="F226" i="12"/>
  <c r="E226" i="12"/>
  <c r="J229" i="12" s="1"/>
  <c r="D226" i="12"/>
  <c r="A226" i="12"/>
  <c r="F708" i="12" s="1"/>
  <c r="J225" i="12"/>
  <c r="I225" i="12"/>
  <c r="F225" i="12"/>
  <c r="E225" i="12"/>
  <c r="D225" i="12"/>
  <c r="A225" i="12"/>
  <c r="J221" i="12"/>
  <c r="J673" i="12" s="1"/>
  <c r="J679" i="12" s="1"/>
  <c r="I221" i="12"/>
  <c r="I673" i="12" s="1"/>
  <c r="I679" i="12" s="1"/>
  <c r="H221" i="12"/>
  <c r="H673" i="12" s="1"/>
  <c r="G221" i="12"/>
  <c r="G673" i="12" s="1"/>
  <c r="F221" i="12"/>
  <c r="E221" i="12"/>
  <c r="E673" i="12" s="1"/>
  <c r="E679" i="12" s="1"/>
  <c r="G195" i="12"/>
  <c r="G37" i="12" s="1"/>
  <c r="F195" i="12"/>
  <c r="E195" i="12"/>
  <c r="E37" i="12" s="1"/>
  <c r="H194" i="12"/>
  <c r="H664" i="12" s="1"/>
  <c r="G194" i="12"/>
  <c r="G664" i="12" s="1"/>
  <c r="F194" i="12"/>
  <c r="F664" i="12" s="1"/>
  <c r="E194" i="12"/>
  <c r="E664" i="12" s="1"/>
  <c r="J193" i="12"/>
  <c r="E27" i="22" s="1"/>
  <c r="I193" i="12"/>
  <c r="D27" i="22" s="1"/>
  <c r="H193" i="12"/>
  <c r="C27" i="22" s="1"/>
  <c r="J190" i="12"/>
  <c r="J194" i="12" s="1"/>
  <c r="J664" i="12" s="1"/>
  <c r="I190" i="12"/>
  <c r="I194" i="12" s="1"/>
  <c r="I664" i="12" s="1"/>
  <c r="H190" i="12"/>
  <c r="H188" i="12"/>
  <c r="J185" i="12"/>
  <c r="G185" i="12"/>
  <c r="F185" i="12"/>
  <c r="E185" i="12"/>
  <c r="J655" i="12"/>
  <c r="I655" i="12"/>
  <c r="H655" i="12"/>
  <c r="H661" i="12" s="1"/>
  <c r="H50" i="12" s="1"/>
  <c r="J646" i="12"/>
  <c r="I646" i="12"/>
  <c r="I637" i="12"/>
  <c r="H637" i="12"/>
  <c r="H628" i="12"/>
  <c r="J176" i="12"/>
  <c r="J27" i="12" s="1"/>
  <c r="I176" i="12"/>
  <c r="H176" i="12"/>
  <c r="H27" i="12" s="1"/>
  <c r="G176" i="12"/>
  <c r="F176" i="12"/>
  <c r="E176" i="12"/>
  <c r="E27" i="12" s="1"/>
  <c r="I389" i="12"/>
  <c r="E130" i="12"/>
  <c r="D130" i="12"/>
  <c r="A130" i="12"/>
  <c r="J129" i="12"/>
  <c r="I129" i="12"/>
  <c r="F129" i="12"/>
  <c r="E129" i="12"/>
  <c r="D129" i="12"/>
  <c r="A129" i="12"/>
  <c r="J128" i="12"/>
  <c r="I128" i="12"/>
  <c r="F128" i="12"/>
  <c r="E128" i="12"/>
  <c r="D128" i="12"/>
  <c r="A128" i="12"/>
  <c r="J127" i="12"/>
  <c r="I127" i="12"/>
  <c r="F127" i="12"/>
  <c r="E127" i="12"/>
  <c r="D127" i="12"/>
  <c r="A127" i="12"/>
  <c r="J126" i="12"/>
  <c r="I126" i="12"/>
  <c r="F126" i="12"/>
  <c r="E126" i="12"/>
  <c r="D126" i="12"/>
  <c r="A126" i="12"/>
  <c r="E116" i="12"/>
  <c r="E36" i="12" s="1"/>
  <c r="I115" i="12"/>
  <c r="I663" i="12" s="1"/>
  <c r="G115" i="12"/>
  <c r="G663" i="12" s="1"/>
  <c r="F115" i="12"/>
  <c r="E115" i="12"/>
  <c r="E663" i="12" s="1"/>
  <c r="J112" i="12"/>
  <c r="I112" i="12"/>
  <c r="H112" i="12"/>
  <c r="J111" i="12"/>
  <c r="I111" i="12"/>
  <c r="H111" i="12"/>
  <c r="J105" i="12"/>
  <c r="I105" i="12"/>
  <c r="H105" i="12"/>
  <c r="J102" i="12"/>
  <c r="I102" i="12"/>
  <c r="H102" i="12"/>
  <c r="H115" i="12" s="1"/>
  <c r="H663" i="12" s="1"/>
  <c r="H670" i="12" s="1"/>
  <c r="H51" i="12" s="1"/>
  <c r="H100" i="12"/>
  <c r="G100" i="12"/>
  <c r="G116" i="12" s="1"/>
  <c r="G36" i="12" s="1"/>
  <c r="F100" i="12"/>
  <c r="F116" i="12" s="1"/>
  <c r="E100" i="12"/>
  <c r="J654" i="12"/>
  <c r="I654" i="12"/>
  <c r="H654" i="12"/>
  <c r="J645" i="12"/>
  <c r="I645" i="12"/>
  <c r="H645" i="12"/>
  <c r="J636" i="12"/>
  <c r="H636" i="12"/>
  <c r="I627" i="12"/>
  <c r="J91" i="12"/>
  <c r="I91" i="12"/>
  <c r="H91" i="12"/>
  <c r="H26" i="12" s="1"/>
  <c r="G91" i="12"/>
  <c r="F91" i="12"/>
  <c r="E91" i="12"/>
  <c r="E26" i="12" s="1"/>
  <c r="E33" i="12" s="1"/>
  <c r="G77" i="12"/>
  <c r="J76" i="12"/>
  <c r="I76" i="12"/>
  <c r="H76" i="12"/>
  <c r="G76" i="12"/>
  <c r="F76" i="12"/>
  <c r="E76" i="12"/>
  <c r="C76" i="12"/>
  <c r="B76" i="12"/>
  <c r="A76" i="12"/>
  <c r="J75" i="12"/>
  <c r="I75" i="12"/>
  <c r="H75" i="12"/>
  <c r="G75" i="12"/>
  <c r="F75" i="12"/>
  <c r="E75" i="12"/>
  <c r="C75" i="12"/>
  <c r="B75" i="12"/>
  <c r="A75" i="12"/>
  <c r="J74" i="12"/>
  <c r="I74" i="12"/>
  <c r="H74" i="12"/>
  <c r="G74" i="12"/>
  <c r="F74" i="12"/>
  <c r="E74" i="12"/>
  <c r="C74" i="12"/>
  <c r="B74" i="12"/>
  <c r="A74" i="12"/>
  <c r="J73" i="12"/>
  <c r="I73" i="12"/>
  <c r="H73" i="12"/>
  <c r="G73" i="12"/>
  <c r="F73" i="12"/>
  <c r="E73" i="12"/>
  <c r="C73" i="12"/>
  <c r="B73" i="12"/>
  <c r="A73" i="12"/>
  <c r="J72" i="12"/>
  <c r="I72" i="12"/>
  <c r="H72" i="12"/>
  <c r="G72" i="12"/>
  <c r="F72" i="12"/>
  <c r="E72" i="12"/>
  <c r="C72" i="12"/>
  <c r="B72" i="12"/>
  <c r="A72" i="12"/>
  <c r="J71" i="12"/>
  <c r="I71" i="12"/>
  <c r="H71" i="12"/>
  <c r="G71" i="12"/>
  <c r="F71" i="12"/>
  <c r="E71" i="12"/>
  <c r="C71" i="12"/>
  <c r="B71" i="12"/>
  <c r="A71" i="12"/>
  <c r="J70" i="12"/>
  <c r="I70" i="12"/>
  <c r="H70" i="12"/>
  <c r="G70" i="12"/>
  <c r="F70" i="12"/>
  <c r="E70" i="12"/>
  <c r="C70" i="12"/>
  <c r="B70" i="12"/>
  <c r="A70" i="12"/>
  <c r="J69" i="12"/>
  <c r="I69" i="12"/>
  <c r="H69" i="12"/>
  <c r="G69" i="12"/>
  <c r="F69" i="12"/>
  <c r="E69" i="12"/>
  <c r="C69" i="12"/>
  <c r="B69" i="12"/>
  <c r="A69" i="12"/>
  <c r="J68" i="12"/>
  <c r="I68" i="12"/>
  <c r="H68" i="12"/>
  <c r="G68" i="12"/>
  <c r="F68" i="12"/>
  <c r="E68" i="12"/>
  <c r="C68" i="12"/>
  <c r="B68" i="12"/>
  <c r="A68" i="12"/>
  <c r="J67" i="12"/>
  <c r="I67" i="12"/>
  <c r="H67" i="12"/>
  <c r="G67" i="12"/>
  <c r="F67" i="12"/>
  <c r="E67" i="12"/>
  <c r="C67" i="12"/>
  <c r="B67" i="12"/>
  <c r="A67" i="12"/>
  <c r="J66" i="12"/>
  <c r="I66" i="12"/>
  <c r="H66" i="12"/>
  <c r="G66" i="12"/>
  <c r="F66" i="12"/>
  <c r="E66" i="12"/>
  <c r="C66" i="12"/>
  <c r="B66" i="12"/>
  <c r="A66" i="12"/>
  <c r="J65" i="12"/>
  <c r="I65" i="12"/>
  <c r="H65" i="12"/>
  <c r="G65" i="12"/>
  <c r="F65" i="12"/>
  <c r="E65" i="12"/>
  <c r="C65" i="12"/>
  <c r="B65" i="12"/>
  <c r="A65" i="12"/>
  <c r="J64" i="12"/>
  <c r="I64" i="12"/>
  <c r="H64" i="12"/>
  <c r="G64" i="12"/>
  <c r="F64" i="12"/>
  <c r="E64" i="12"/>
  <c r="C64" i="12"/>
  <c r="B64" i="12"/>
  <c r="A64" i="12"/>
  <c r="J63" i="12"/>
  <c r="I63" i="12"/>
  <c r="H63" i="12"/>
  <c r="G63" i="12"/>
  <c r="F63" i="12"/>
  <c r="E63" i="12"/>
  <c r="C63" i="12"/>
  <c r="B63" i="12"/>
  <c r="A63" i="12"/>
  <c r="J62" i="12"/>
  <c r="I62" i="12"/>
  <c r="H62" i="12"/>
  <c r="G62" i="12"/>
  <c r="F62" i="12"/>
  <c r="E62" i="12"/>
  <c r="C62" i="12"/>
  <c r="B62" i="12"/>
  <c r="A62" i="12"/>
  <c r="J61" i="12"/>
  <c r="I61" i="12"/>
  <c r="H61" i="12"/>
  <c r="G61" i="12"/>
  <c r="F61" i="12"/>
  <c r="E61" i="12"/>
  <c r="C61" i="12"/>
  <c r="B61" i="12"/>
  <c r="A61" i="12"/>
  <c r="H710" i="12" s="1"/>
  <c r="J60" i="12"/>
  <c r="I60" i="12"/>
  <c r="H60" i="12"/>
  <c r="G60" i="12"/>
  <c r="F60" i="12"/>
  <c r="E60" i="12"/>
  <c r="C60" i="12"/>
  <c r="B60" i="12"/>
  <c r="A60" i="12"/>
  <c r="J59" i="12"/>
  <c r="I59" i="12"/>
  <c r="H59" i="12"/>
  <c r="G59" i="12"/>
  <c r="F59" i="12"/>
  <c r="E59" i="12"/>
  <c r="C59" i="12"/>
  <c r="B59" i="12"/>
  <c r="A59" i="12"/>
  <c r="J58" i="12"/>
  <c r="J77" i="12" s="1"/>
  <c r="I58" i="12"/>
  <c r="H58" i="12"/>
  <c r="G58" i="12"/>
  <c r="F58" i="12"/>
  <c r="E58" i="12"/>
  <c r="E77" i="12" s="1"/>
  <c r="C58" i="12"/>
  <c r="B58" i="12"/>
  <c r="A58" i="12"/>
  <c r="J57" i="12"/>
  <c r="I57" i="12"/>
  <c r="H57" i="12"/>
  <c r="G57" i="12"/>
  <c r="F57" i="12"/>
  <c r="E57" i="12"/>
  <c r="C57" i="12"/>
  <c r="B57" i="12"/>
  <c r="A57" i="12"/>
  <c r="J56" i="12"/>
  <c r="I56" i="12"/>
  <c r="I77" i="12" s="1"/>
  <c r="H56" i="12"/>
  <c r="H77" i="12" s="1"/>
  <c r="G56" i="12"/>
  <c r="F56" i="12"/>
  <c r="E56" i="12"/>
  <c r="C56" i="12"/>
  <c r="B56" i="12"/>
  <c r="A56" i="12"/>
  <c r="H725" i="12" s="1"/>
  <c r="F50" i="12"/>
  <c r="E50" i="12"/>
  <c r="E47" i="12"/>
  <c r="F42" i="12"/>
  <c r="H41" i="12"/>
  <c r="F41" i="12"/>
  <c r="E41" i="12"/>
  <c r="G40" i="12"/>
  <c r="F40" i="12"/>
  <c r="E40" i="12"/>
  <c r="G39" i="12"/>
  <c r="E38" i="12"/>
  <c r="F37" i="12"/>
  <c r="F36" i="12"/>
  <c r="J32" i="12"/>
  <c r="I32" i="12"/>
  <c r="H32" i="12"/>
  <c r="F32" i="12"/>
  <c r="E32" i="12"/>
  <c r="G31" i="12"/>
  <c r="F31" i="12"/>
  <c r="E31" i="12"/>
  <c r="J30" i="12"/>
  <c r="H30" i="12"/>
  <c r="G30" i="12"/>
  <c r="F30" i="12"/>
  <c r="E30" i="12"/>
  <c r="J29" i="12"/>
  <c r="J33" i="12" s="1"/>
  <c r="G29" i="12"/>
  <c r="F29" i="12"/>
  <c r="E29" i="12"/>
  <c r="J28" i="12"/>
  <c r="H28" i="12"/>
  <c r="F28" i="12"/>
  <c r="E28" i="12"/>
  <c r="I27" i="12"/>
  <c r="G27" i="12"/>
  <c r="F27" i="12"/>
  <c r="J26" i="12"/>
  <c r="I26" i="12"/>
  <c r="I33" i="12" s="1"/>
  <c r="G26" i="12"/>
  <c r="F26" i="12"/>
  <c r="J399" i="11"/>
  <c r="I399" i="11"/>
  <c r="H399" i="11"/>
  <c r="G399" i="11"/>
  <c r="F399" i="11"/>
  <c r="E399" i="11"/>
  <c r="J398" i="11"/>
  <c r="I398" i="11"/>
  <c r="H398" i="11"/>
  <c r="G398" i="11"/>
  <c r="F398" i="11"/>
  <c r="E398" i="11"/>
  <c r="J397" i="11"/>
  <c r="I397" i="11"/>
  <c r="H397" i="11"/>
  <c r="G397" i="11"/>
  <c r="F397" i="11"/>
  <c r="E397" i="11"/>
  <c r="J396" i="11"/>
  <c r="I396" i="11"/>
  <c r="H396" i="11"/>
  <c r="G396" i="11"/>
  <c r="F396" i="11"/>
  <c r="E396" i="11"/>
  <c r="J395" i="11"/>
  <c r="I395" i="11"/>
  <c r="H395" i="11"/>
  <c r="G395" i="11"/>
  <c r="F395" i="11"/>
  <c r="E395" i="11"/>
  <c r="J394" i="11"/>
  <c r="I394" i="11"/>
  <c r="H394" i="11"/>
  <c r="G394" i="11"/>
  <c r="F394" i="11"/>
  <c r="E394" i="11"/>
  <c r="J393" i="11"/>
  <c r="I393" i="11"/>
  <c r="H393" i="11"/>
  <c r="G393" i="11"/>
  <c r="F393" i="11"/>
  <c r="E393" i="11"/>
  <c r="J392" i="11"/>
  <c r="I392" i="11"/>
  <c r="H392" i="11"/>
  <c r="G392" i="11"/>
  <c r="F392" i="11"/>
  <c r="E392" i="11"/>
  <c r="J391" i="11"/>
  <c r="I391" i="11"/>
  <c r="H391" i="11"/>
  <c r="G391" i="11"/>
  <c r="F391" i="11"/>
  <c r="E391" i="11"/>
  <c r="J390" i="11"/>
  <c r="I390" i="11"/>
  <c r="H390" i="11"/>
  <c r="G390" i="11"/>
  <c r="F390" i="11"/>
  <c r="E390" i="11"/>
  <c r="J389" i="11"/>
  <c r="I389" i="11"/>
  <c r="H389" i="11"/>
  <c r="G389" i="11"/>
  <c r="F389" i="11"/>
  <c r="E389" i="11"/>
  <c r="J388" i="11"/>
  <c r="I388" i="11"/>
  <c r="H388" i="11"/>
  <c r="G388" i="11"/>
  <c r="F388" i="11"/>
  <c r="E388" i="11"/>
  <c r="J387" i="11"/>
  <c r="I387" i="11"/>
  <c r="H387" i="11"/>
  <c r="G387" i="11"/>
  <c r="F387" i="11"/>
  <c r="E387" i="11"/>
  <c r="J386" i="11"/>
  <c r="I386" i="11"/>
  <c r="H386" i="11"/>
  <c r="G386" i="11"/>
  <c r="F386" i="11"/>
  <c r="E386" i="11"/>
  <c r="J385" i="11"/>
  <c r="I385" i="11"/>
  <c r="H385" i="11"/>
  <c r="G385" i="11"/>
  <c r="F385" i="11"/>
  <c r="E385" i="11"/>
  <c r="J384" i="11"/>
  <c r="I384" i="11"/>
  <c r="H384" i="11"/>
  <c r="G384" i="11"/>
  <c r="F384" i="11"/>
  <c r="E384" i="11"/>
  <c r="J383" i="11"/>
  <c r="I383" i="11"/>
  <c r="H383" i="11"/>
  <c r="G383" i="11"/>
  <c r="F383" i="11"/>
  <c r="E383" i="11"/>
  <c r="J382" i="11"/>
  <c r="I382" i="11"/>
  <c r="H382" i="11"/>
  <c r="G382" i="11"/>
  <c r="F382" i="11"/>
  <c r="E382" i="11"/>
  <c r="J381" i="11"/>
  <c r="I381" i="11"/>
  <c r="H381" i="11"/>
  <c r="G381" i="11"/>
  <c r="F381" i="11"/>
  <c r="E381" i="11"/>
  <c r="J380" i="11"/>
  <c r="I380" i="11"/>
  <c r="H380" i="11"/>
  <c r="G380" i="11"/>
  <c r="F380" i="11"/>
  <c r="E380" i="11"/>
  <c r="J379" i="11"/>
  <c r="I379" i="11"/>
  <c r="H379" i="11"/>
  <c r="G379" i="11"/>
  <c r="F379" i="11"/>
  <c r="E379" i="11"/>
  <c r="J378" i="11"/>
  <c r="I378" i="11"/>
  <c r="H378" i="11"/>
  <c r="G378" i="11"/>
  <c r="F378" i="11"/>
  <c r="E378" i="11"/>
  <c r="J377" i="11"/>
  <c r="I377" i="11"/>
  <c r="H377" i="11"/>
  <c r="G377" i="11"/>
  <c r="F377" i="11"/>
  <c r="E377" i="11"/>
  <c r="J376" i="11"/>
  <c r="I376" i="11"/>
  <c r="H376" i="11"/>
  <c r="G376" i="11"/>
  <c r="F376" i="11"/>
  <c r="E376" i="11"/>
  <c r="J375" i="11"/>
  <c r="I375" i="11"/>
  <c r="H375" i="11"/>
  <c r="G375" i="11"/>
  <c r="F375" i="11"/>
  <c r="E375" i="11"/>
  <c r="J374" i="11"/>
  <c r="I374" i="11"/>
  <c r="H374" i="11"/>
  <c r="G374" i="11"/>
  <c r="F374" i="11"/>
  <c r="E374" i="11"/>
  <c r="J373" i="11"/>
  <c r="I373" i="11"/>
  <c r="H373" i="11"/>
  <c r="G373" i="11"/>
  <c r="F373" i="11"/>
  <c r="E373" i="11"/>
  <c r="J372" i="11"/>
  <c r="I372" i="11"/>
  <c r="H372" i="11"/>
  <c r="G372" i="11"/>
  <c r="F372" i="11"/>
  <c r="E372" i="11"/>
  <c r="J371" i="11"/>
  <c r="I371" i="11"/>
  <c r="H371" i="11"/>
  <c r="G371" i="11"/>
  <c r="F371" i="11"/>
  <c r="E371" i="11"/>
  <c r="J370" i="11"/>
  <c r="I370" i="11"/>
  <c r="H370" i="11"/>
  <c r="G370" i="11"/>
  <c r="F370" i="11"/>
  <c r="E370" i="11"/>
  <c r="J369" i="11"/>
  <c r="I369" i="11"/>
  <c r="H369" i="11"/>
  <c r="G369" i="11"/>
  <c r="F369" i="11"/>
  <c r="E369" i="11"/>
  <c r="J368" i="11"/>
  <c r="I368" i="11"/>
  <c r="H368" i="11"/>
  <c r="G368" i="11"/>
  <c r="F368" i="11"/>
  <c r="E368" i="11"/>
  <c r="J367" i="11"/>
  <c r="I367" i="11"/>
  <c r="H367" i="11"/>
  <c r="G367" i="11"/>
  <c r="F367" i="11"/>
  <c r="E367" i="11"/>
  <c r="J366" i="11"/>
  <c r="I366" i="11"/>
  <c r="H366" i="11"/>
  <c r="G366" i="11"/>
  <c r="F366" i="11"/>
  <c r="E366" i="11"/>
  <c r="J365" i="11"/>
  <c r="I365" i="11"/>
  <c r="H365" i="11"/>
  <c r="G365" i="11"/>
  <c r="F365" i="11"/>
  <c r="E365" i="11"/>
  <c r="J364" i="11"/>
  <c r="I364" i="11"/>
  <c r="H364" i="11"/>
  <c r="G364" i="11"/>
  <c r="F364" i="11"/>
  <c r="E364" i="11"/>
  <c r="J363" i="11"/>
  <c r="I363" i="11"/>
  <c r="H363" i="11"/>
  <c r="G363" i="11"/>
  <c r="F363" i="11"/>
  <c r="E363" i="11"/>
  <c r="J362" i="11"/>
  <c r="I362" i="11"/>
  <c r="H362" i="11"/>
  <c r="G362" i="11"/>
  <c r="F362" i="11"/>
  <c r="E362" i="11"/>
  <c r="J361" i="11"/>
  <c r="I361" i="11"/>
  <c r="H361" i="11"/>
  <c r="G361" i="11"/>
  <c r="F361" i="11"/>
  <c r="E361" i="11"/>
  <c r="J360" i="11"/>
  <c r="I360" i="11"/>
  <c r="H360" i="11"/>
  <c r="G360" i="11"/>
  <c r="F360" i="11"/>
  <c r="E360" i="11"/>
  <c r="J359" i="11"/>
  <c r="I359" i="11"/>
  <c r="H359" i="11"/>
  <c r="G359" i="11"/>
  <c r="F359" i="11"/>
  <c r="E359" i="11"/>
  <c r="J358" i="11"/>
  <c r="I358" i="11"/>
  <c r="H358" i="11"/>
  <c r="G358" i="11"/>
  <c r="F358" i="11"/>
  <c r="E358" i="11"/>
  <c r="J357" i="11"/>
  <c r="I357" i="11"/>
  <c r="H357" i="11"/>
  <c r="G357" i="11"/>
  <c r="F357" i="11"/>
  <c r="E357" i="11"/>
  <c r="J351" i="11"/>
  <c r="I351" i="11"/>
  <c r="H351" i="11"/>
  <c r="G351" i="11"/>
  <c r="F351" i="11"/>
  <c r="E351" i="11"/>
  <c r="J350" i="11"/>
  <c r="J352" i="11" s="1"/>
  <c r="I350" i="11"/>
  <c r="H350" i="11"/>
  <c r="G350" i="11"/>
  <c r="F350" i="11"/>
  <c r="F352" i="11" s="1"/>
  <c r="E350" i="11"/>
  <c r="J349" i="11"/>
  <c r="I349" i="11"/>
  <c r="H349" i="11"/>
  <c r="G349" i="11"/>
  <c r="F349" i="11"/>
  <c r="E349" i="11"/>
  <c r="J348" i="11"/>
  <c r="G348" i="11"/>
  <c r="G352" i="11" s="1"/>
  <c r="F348" i="11"/>
  <c r="J344" i="11"/>
  <c r="I344" i="11"/>
  <c r="I343" i="11"/>
  <c r="H343" i="11"/>
  <c r="G343" i="11"/>
  <c r="E343" i="11"/>
  <c r="J342" i="11"/>
  <c r="F342" i="11"/>
  <c r="G341" i="11"/>
  <c r="E341" i="11"/>
  <c r="E345" i="11" s="1"/>
  <c r="E53" i="11" s="1"/>
  <c r="I338" i="11"/>
  <c r="I52" i="11" s="1"/>
  <c r="J337" i="11"/>
  <c r="I337" i="11"/>
  <c r="H337" i="11"/>
  <c r="G337" i="11"/>
  <c r="F337" i="11"/>
  <c r="E337" i="11"/>
  <c r="J336" i="11"/>
  <c r="I336" i="11"/>
  <c r="H336" i="11"/>
  <c r="G336" i="11"/>
  <c r="F336" i="11"/>
  <c r="E336" i="11"/>
  <c r="J335" i="11"/>
  <c r="I335" i="11"/>
  <c r="H335" i="11"/>
  <c r="G335" i="11"/>
  <c r="F335" i="11"/>
  <c r="E335" i="11"/>
  <c r="J334" i="11"/>
  <c r="J338" i="11" s="1"/>
  <c r="J52" i="11" s="1"/>
  <c r="I334" i="11"/>
  <c r="H334" i="11"/>
  <c r="G334" i="11"/>
  <c r="G338" i="11" s="1"/>
  <c r="F334" i="11"/>
  <c r="F338" i="11" s="1"/>
  <c r="F52" i="11" s="1"/>
  <c r="E334" i="11"/>
  <c r="E338" i="11" s="1"/>
  <c r="E52" i="11" s="1"/>
  <c r="J330" i="11"/>
  <c r="I330" i="11"/>
  <c r="H330" i="11"/>
  <c r="G330" i="11"/>
  <c r="F330" i="11"/>
  <c r="E330" i="11"/>
  <c r="J329" i="11"/>
  <c r="I329" i="11"/>
  <c r="H329" i="11"/>
  <c r="G329" i="11"/>
  <c r="F329" i="11"/>
  <c r="E329" i="11"/>
  <c r="J328" i="11"/>
  <c r="I328" i="11"/>
  <c r="I331" i="11" s="1"/>
  <c r="I51" i="11" s="1"/>
  <c r="H328" i="11"/>
  <c r="G328" i="11"/>
  <c r="F328" i="11"/>
  <c r="E328" i="11"/>
  <c r="J327" i="11"/>
  <c r="I327" i="11"/>
  <c r="H327" i="11"/>
  <c r="H331" i="11" s="1"/>
  <c r="H51" i="11" s="1"/>
  <c r="G327" i="11"/>
  <c r="G331" i="11" s="1"/>
  <c r="G51" i="11" s="1"/>
  <c r="F327" i="11"/>
  <c r="E327" i="11"/>
  <c r="J325" i="11"/>
  <c r="J50" i="11" s="1"/>
  <c r="J324" i="11"/>
  <c r="I324" i="11"/>
  <c r="H324" i="11"/>
  <c r="G324" i="11"/>
  <c r="F324" i="11"/>
  <c r="E324" i="11"/>
  <c r="J323" i="11"/>
  <c r="I323" i="11"/>
  <c r="H323" i="11"/>
  <c r="G323" i="11"/>
  <c r="F323" i="11"/>
  <c r="E323" i="11"/>
  <c r="J322" i="11"/>
  <c r="I322" i="11"/>
  <c r="H322" i="11"/>
  <c r="G322" i="11"/>
  <c r="F322" i="11"/>
  <c r="E322" i="11"/>
  <c r="J321" i="11"/>
  <c r="I321" i="11"/>
  <c r="I325" i="11" s="1"/>
  <c r="I50" i="11" s="1"/>
  <c r="H321" i="11"/>
  <c r="H325" i="11" s="1"/>
  <c r="G321" i="11"/>
  <c r="F321" i="11"/>
  <c r="F325" i="11" s="1"/>
  <c r="F50" i="11" s="1"/>
  <c r="E321" i="11"/>
  <c r="H319" i="11"/>
  <c r="H49" i="11" s="1"/>
  <c r="J318" i="11"/>
  <c r="I318" i="11"/>
  <c r="H318" i="11"/>
  <c r="G318" i="11"/>
  <c r="F318" i="11"/>
  <c r="E318" i="11"/>
  <c r="J317" i="11"/>
  <c r="I317" i="11"/>
  <c r="H317" i="11"/>
  <c r="G317" i="11"/>
  <c r="F317" i="11"/>
  <c r="E317" i="11"/>
  <c r="J316" i="11"/>
  <c r="I316" i="11"/>
  <c r="H316" i="11"/>
  <c r="G316" i="11"/>
  <c r="F316" i="11"/>
  <c r="E316" i="11"/>
  <c r="J315" i="11"/>
  <c r="I315" i="11"/>
  <c r="I319" i="11" s="1"/>
  <c r="I49" i="11" s="1"/>
  <c r="H315" i="11"/>
  <c r="G315" i="11"/>
  <c r="F315" i="11"/>
  <c r="E315" i="11"/>
  <c r="I299" i="11"/>
  <c r="H299" i="11"/>
  <c r="F299" i="11"/>
  <c r="E287" i="11"/>
  <c r="I276" i="11"/>
  <c r="I44" i="11" s="1"/>
  <c r="J275" i="11"/>
  <c r="J276" i="11" s="1"/>
  <c r="J44" i="11" s="1"/>
  <c r="I275" i="11"/>
  <c r="H275" i="11"/>
  <c r="H344" i="11" s="1"/>
  <c r="G275" i="11"/>
  <c r="G344" i="11" s="1"/>
  <c r="F275" i="11"/>
  <c r="F344" i="11" s="1"/>
  <c r="E275" i="11"/>
  <c r="E344" i="11" s="1"/>
  <c r="J260" i="11"/>
  <c r="I260" i="11"/>
  <c r="H260" i="11"/>
  <c r="H276" i="11" s="1"/>
  <c r="H44" i="11" s="1"/>
  <c r="G260" i="11"/>
  <c r="G276" i="11" s="1"/>
  <c r="G44" i="11" s="1"/>
  <c r="F260" i="11"/>
  <c r="E260" i="11"/>
  <c r="E276" i="11" s="1"/>
  <c r="E44" i="11" s="1"/>
  <c r="J251" i="11"/>
  <c r="J37" i="11" s="1"/>
  <c r="I251" i="11"/>
  <c r="H251" i="11"/>
  <c r="G251" i="11"/>
  <c r="G37" i="11" s="1"/>
  <c r="F251" i="11"/>
  <c r="E251" i="11"/>
  <c r="I233" i="11"/>
  <c r="H233" i="11"/>
  <c r="F233" i="11"/>
  <c r="E223" i="11"/>
  <c r="G211" i="11"/>
  <c r="E211" i="11"/>
  <c r="E43" i="11" s="1"/>
  <c r="J210" i="11"/>
  <c r="I210" i="11"/>
  <c r="H210" i="11"/>
  <c r="G210" i="11"/>
  <c r="F210" i="11"/>
  <c r="F343" i="11" s="1"/>
  <c r="E210" i="11"/>
  <c r="J203" i="11"/>
  <c r="I203" i="11"/>
  <c r="I211" i="11" s="1"/>
  <c r="I43" i="11" s="1"/>
  <c r="H203" i="11"/>
  <c r="H211" i="11" s="1"/>
  <c r="H43" i="11" s="1"/>
  <c r="G203" i="11"/>
  <c r="F203" i="11"/>
  <c r="F211" i="11" s="1"/>
  <c r="F43" i="11" s="1"/>
  <c r="E203" i="11"/>
  <c r="J194" i="11"/>
  <c r="I194" i="11"/>
  <c r="I36" i="11" s="1"/>
  <c r="H194" i="11"/>
  <c r="H36" i="11" s="1"/>
  <c r="G194" i="11"/>
  <c r="G36" i="11" s="1"/>
  <c r="F194" i="11"/>
  <c r="E194" i="11"/>
  <c r="E36" i="11" s="1"/>
  <c r="J177" i="11"/>
  <c r="I177" i="11"/>
  <c r="F177" i="11"/>
  <c r="E165" i="11"/>
  <c r="J153" i="11"/>
  <c r="J42" i="11" s="1"/>
  <c r="J152" i="11"/>
  <c r="I152" i="11"/>
  <c r="I342" i="11" s="1"/>
  <c r="H152" i="11"/>
  <c r="H342" i="11" s="1"/>
  <c r="G152" i="11"/>
  <c r="G153" i="11" s="1"/>
  <c r="F152" i="11"/>
  <c r="E152" i="11"/>
  <c r="E342" i="11" s="1"/>
  <c r="J146" i="11"/>
  <c r="I146" i="11"/>
  <c r="I153" i="11" s="1"/>
  <c r="I42" i="11" s="1"/>
  <c r="H146" i="11"/>
  <c r="G146" i="11"/>
  <c r="F146" i="11"/>
  <c r="F153" i="11" s="1"/>
  <c r="F42" i="11" s="1"/>
  <c r="E146" i="11"/>
  <c r="E153" i="11" s="1"/>
  <c r="E42" i="11" s="1"/>
  <c r="J137" i="11"/>
  <c r="J35" i="11" s="1"/>
  <c r="I137" i="11"/>
  <c r="I35" i="11" s="1"/>
  <c r="I38" i="11" s="1"/>
  <c r="H137" i="11"/>
  <c r="G137" i="11"/>
  <c r="G35" i="11" s="1"/>
  <c r="G38" i="11" s="1"/>
  <c r="F137" i="11"/>
  <c r="F35" i="11" s="1"/>
  <c r="E137" i="11"/>
  <c r="J299" i="11"/>
  <c r="H177" i="11"/>
  <c r="E110" i="11"/>
  <c r="J105" i="11"/>
  <c r="I105" i="11"/>
  <c r="I348" i="11" s="1"/>
  <c r="I352" i="11" s="1"/>
  <c r="H105" i="11"/>
  <c r="H348" i="11" s="1"/>
  <c r="G105" i="11"/>
  <c r="F105" i="11"/>
  <c r="E105" i="11"/>
  <c r="E348" i="11" s="1"/>
  <c r="E352" i="11" s="1"/>
  <c r="F96" i="11"/>
  <c r="F41" i="11" s="1"/>
  <c r="E96" i="11"/>
  <c r="E41" i="11" s="1"/>
  <c r="E45" i="11" s="1"/>
  <c r="J95" i="11"/>
  <c r="J341" i="11" s="1"/>
  <c r="I95" i="11"/>
  <c r="I341" i="11" s="1"/>
  <c r="H95" i="11"/>
  <c r="H341" i="11" s="1"/>
  <c r="H345" i="11" s="1"/>
  <c r="H53" i="11" s="1"/>
  <c r="G95" i="11"/>
  <c r="F95" i="11"/>
  <c r="F341" i="11" s="1"/>
  <c r="E95" i="11"/>
  <c r="J84" i="11"/>
  <c r="J96" i="11" s="1"/>
  <c r="J41" i="11" s="1"/>
  <c r="I84" i="11"/>
  <c r="I96" i="11" s="1"/>
  <c r="I41" i="11" s="1"/>
  <c r="I45" i="11" s="1"/>
  <c r="H84" i="11"/>
  <c r="G84" i="11"/>
  <c r="G96" i="11" s="1"/>
  <c r="G41" i="11" s="1"/>
  <c r="F84" i="11"/>
  <c r="E84" i="11"/>
  <c r="J75" i="11"/>
  <c r="J34" i="11" s="1"/>
  <c r="I75" i="11"/>
  <c r="H75" i="11"/>
  <c r="G75" i="11"/>
  <c r="F75" i="11"/>
  <c r="E75" i="11"/>
  <c r="H62" i="11"/>
  <c r="J61" i="11"/>
  <c r="I61" i="11"/>
  <c r="H61" i="11"/>
  <c r="G61" i="11"/>
  <c r="F61" i="11"/>
  <c r="E61" i="11"/>
  <c r="C61" i="11"/>
  <c r="B61" i="11"/>
  <c r="A61" i="11"/>
  <c r="J60" i="11"/>
  <c r="I60" i="11"/>
  <c r="H60" i="11"/>
  <c r="G60" i="11"/>
  <c r="F60" i="11"/>
  <c r="E60" i="11"/>
  <c r="C60" i="11"/>
  <c r="B60" i="11"/>
  <c r="A60" i="11"/>
  <c r="J59" i="11"/>
  <c r="I59" i="11"/>
  <c r="H59" i="11"/>
  <c r="G59" i="11"/>
  <c r="F59" i="11"/>
  <c r="E59" i="11"/>
  <c r="E62" i="11" s="1"/>
  <c r="C59" i="11"/>
  <c r="B59" i="11"/>
  <c r="A59" i="11"/>
  <c r="J58" i="11"/>
  <c r="J62" i="11" s="1"/>
  <c r="I58" i="11"/>
  <c r="H58" i="11"/>
  <c r="G58" i="11"/>
  <c r="F58" i="11"/>
  <c r="F62" i="11" s="1"/>
  <c r="E58" i="11"/>
  <c r="C58" i="11"/>
  <c r="B58" i="11"/>
  <c r="A58" i="11"/>
  <c r="G52" i="11"/>
  <c r="H50" i="11"/>
  <c r="G43" i="11"/>
  <c r="G42" i="11"/>
  <c r="I37" i="11"/>
  <c r="H37" i="11"/>
  <c r="F37" i="11"/>
  <c r="E37" i="11"/>
  <c r="J36" i="11"/>
  <c r="F36" i="11"/>
  <c r="F38" i="11" s="1"/>
  <c r="H35" i="11"/>
  <c r="E35" i="11"/>
  <c r="E38" i="11" s="1"/>
  <c r="I34" i="11"/>
  <c r="H34" i="11"/>
  <c r="H38" i="11" s="1"/>
  <c r="G34" i="11"/>
  <c r="F34" i="11"/>
  <c r="E34" i="11"/>
  <c r="F491" i="10"/>
  <c r="G468" i="10"/>
  <c r="F456" i="10"/>
  <c r="J448" i="10"/>
  <c r="I448" i="10"/>
  <c r="H448" i="10"/>
  <c r="G448" i="10"/>
  <c r="F448" i="10"/>
  <c r="E448" i="10"/>
  <c r="J447" i="10"/>
  <c r="I447" i="10"/>
  <c r="H447" i="10"/>
  <c r="G447" i="10"/>
  <c r="F447" i="10"/>
  <c r="E447" i="10"/>
  <c r="J446" i="10"/>
  <c r="I446" i="10"/>
  <c r="H446" i="10"/>
  <c r="G446" i="10"/>
  <c r="F446" i="10"/>
  <c r="E446" i="10"/>
  <c r="J445" i="10"/>
  <c r="J449" i="10" s="1"/>
  <c r="I445" i="10"/>
  <c r="H445" i="10"/>
  <c r="G445" i="10"/>
  <c r="F445" i="10"/>
  <c r="E445" i="10"/>
  <c r="H444" i="10"/>
  <c r="G444" i="10"/>
  <c r="F444" i="10"/>
  <c r="F449" i="10" s="1"/>
  <c r="J440" i="10"/>
  <c r="I440" i="10"/>
  <c r="F440" i="10"/>
  <c r="I439" i="10"/>
  <c r="H439" i="10"/>
  <c r="G439" i="10"/>
  <c r="F439" i="10"/>
  <c r="G438" i="10"/>
  <c r="E438" i="10"/>
  <c r="J437" i="10"/>
  <c r="I437" i="10"/>
  <c r="F437" i="10"/>
  <c r="G436" i="10"/>
  <c r="F436" i="10"/>
  <c r="F441" i="10" s="1"/>
  <c r="F46" i="10" s="1"/>
  <c r="J432" i="10"/>
  <c r="H432" i="10"/>
  <c r="G432" i="10"/>
  <c r="F432" i="10"/>
  <c r="E432" i="10"/>
  <c r="H431" i="10"/>
  <c r="G431" i="10"/>
  <c r="F431" i="10"/>
  <c r="E431" i="10"/>
  <c r="J430" i="10"/>
  <c r="H430" i="10"/>
  <c r="G430" i="10"/>
  <c r="F430" i="10"/>
  <c r="E430" i="10"/>
  <c r="G429" i="10"/>
  <c r="F429" i="10"/>
  <c r="E429" i="10"/>
  <c r="J428" i="10"/>
  <c r="H428" i="10"/>
  <c r="H433" i="10" s="1"/>
  <c r="H45" i="10" s="1"/>
  <c r="G428" i="10"/>
  <c r="G433" i="10" s="1"/>
  <c r="G45" i="10" s="1"/>
  <c r="F428" i="10"/>
  <c r="E428" i="10"/>
  <c r="E433" i="10" s="1"/>
  <c r="E45" i="10" s="1"/>
  <c r="F425" i="10"/>
  <c r="J424" i="10"/>
  <c r="H424" i="10"/>
  <c r="G424" i="10"/>
  <c r="F424" i="10"/>
  <c r="E424" i="10"/>
  <c r="J423" i="10"/>
  <c r="I423" i="10"/>
  <c r="H423" i="10"/>
  <c r="G423" i="10"/>
  <c r="F423" i="10"/>
  <c r="E423" i="10"/>
  <c r="G422" i="10"/>
  <c r="F422" i="10"/>
  <c r="E422" i="10"/>
  <c r="H421" i="10"/>
  <c r="G421" i="10"/>
  <c r="F421" i="10"/>
  <c r="E421" i="10"/>
  <c r="E425" i="10" s="1"/>
  <c r="E44" i="10" s="1"/>
  <c r="J420" i="10"/>
  <c r="G420" i="10"/>
  <c r="F420" i="10"/>
  <c r="E420" i="10"/>
  <c r="G418" i="10"/>
  <c r="G43" i="10" s="1"/>
  <c r="H417" i="10"/>
  <c r="G417" i="10"/>
  <c r="F417" i="10"/>
  <c r="E417" i="10"/>
  <c r="J416" i="10"/>
  <c r="G416" i="10"/>
  <c r="F416" i="10"/>
  <c r="E416" i="10"/>
  <c r="J415" i="10"/>
  <c r="I415" i="10"/>
  <c r="H415" i="10"/>
  <c r="G415" i="10"/>
  <c r="F415" i="10"/>
  <c r="E415" i="10"/>
  <c r="H414" i="10"/>
  <c r="G414" i="10"/>
  <c r="F414" i="10"/>
  <c r="E414" i="10"/>
  <c r="G413" i="10"/>
  <c r="F413" i="10"/>
  <c r="E413" i="10"/>
  <c r="E418" i="10" s="1"/>
  <c r="E43" i="10" s="1"/>
  <c r="H410" i="10"/>
  <c r="G410" i="10"/>
  <c r="F410" i="10"/>
  <c r="E410" i="10"/>
  <c r="J409" i="10"/>
  <c r="H409" i="10"/>
  <c r="G409" i="10"/>
  <c r="F409" i="10"/>
  <c r="E409" i="10"/>
  <c r="G408" i="10"/>
  <c r="F408" i="10"/>
  <c r="E408" i="10"/>
  <c r="H407" i="10"/>
  <c r="G407" i="10"/>
  <c r="F407" i="10"/>
  <c r="E407" i="10"/>
  <c r="J406" i="10"/>
  <c r="I406" i="10"/>
  <c r="G406" i="10"/>
  <c r="G411" i="10" s="1"/>
  <c r="G42" i="10" s="1"/>
  <c r="F406" i="10"/>
  <c r="E406" i="10"/>
  <c r="J376" i="10"/>
  <c r="I376" i="10"/>
  <c r="F376" i="10"/>
  <c r="E376" i="10"/>
  <c r="D376" i="10"/>
  <c r="A376" i="10"/>
  <c r="J375" i="10"/>
  <c r="I375" i="10"/>
  <c r="F375" i="10"/>
  <c r="E375" i="10"/>
  <c r="D375" i="10"/>
  <c r="A375" i="10"/>
  <c r="J374" i="10"/>
  <c r="I374" i="10"/>
  <c r="F374" i="10"/>
  <c r="E374" i="10"/>
  <c r="D374" i="10"/>
  <c r="A374" i="10"/>
  <c r="J373" i="10"/>
  <c r="I373" i="10"/>
  <c r="F373" i="10"/>
  <c r="E373" i="10"/>
  <c r="D373" i="10"/>
  <c r="A373" i="10"/>
  <c r="J372" i="10"/>
  <c r="I372" i="10"/>
  <c r="F372" i="10"/>
  <c r="E372" i="10"/>
  <c r="D372" i="10"/>
  <c r="A372" i="10"/>
  <c r="J360" i="10"/>
  <c r="I360" i="10"/>
  <c r="H360" i="10"/>
  <c r="H440" i="10" s="1"/>
  <c r="G360" i="10"/>
  <c r="F360" i="10"/>
  <c r="E360" i="10"/>
  <c r="E440" i="10" s="1"/>
  <c r="G353" i="10"/>
  <c r="F353" i="10"/>
  <c r="F361" i="10" s="1"/>
  <c r="E353" i="10"/>
  <c r="I432" i="10"/>
  <c r="I424" i="10"/>
  <c r="J417" i="10"/>
  <c r="I410" i="10"/>
  <c r="H353" i="10"/>
  <c r="J344" i="10"/>
  <c r="I344" i="10"/>
  <c r="H344" i="10"/>
  <c r="G344" i="10"/>
  <c r="F344" i="10"/>
  <c r="E344" i="10"/>
  <c r="E29" i="10" s="1"/>
  <c r="J314" i="10"/>
  <c r="J313" i="10"/>
  <c r="I313" i="10"/>
  <c r="F313" i="10"/>
  <c r="E313" i="10"/>
  <c r="D313" i="10"/>
  <c r="A313" i="10"/>
  <c r="J312" i="10"/>
  <c r="I312" i="10"/>
  <c r="F312" i="10"/>
  <c r="E312" i="10"/>
  <c r="D312" i="10"/>
  <c r="A312" i="10"/>
  <c r="G301" i="10"/>
  <c r="G36" i="10" s="1"/>
  <c r="F301" i="10"/>
  <c r="F36" i="10" s="1"/>
  <c r="J300" i="10"/>
  <c r="J439" i="10" s="1"/>
  <c r="I300" i="10"/>
  <c r="H300" i="10"/>
  <c r="G300" i="10"/>
  <c r="F300" i="10"/>
  <c r="E300" i="10"/>
  <c r="G294" i="10"/>
  <c r="F294" i="10"/>
  <c r="E294" i="10"/>
  <c r="J431" i="10"/>
  <c r="I431" i="10"/>
  <c r="I416" i="10"/>
  <c r="J285" i="10"/>
  <c r="J28" i="10" s="1"/>
  <c r="I285" i="10"/>
  <c r="I28" i="10" s="1"/>
  <c r="H285" i="10"/>
  <c r="G285" i="10"/>
  <c r="F285" i="10"/>
  <c r="E285" i="10"/>
  <c r="E28" i="10" s="1"/>
  <c r="F266" i="10"/>
  <c r="F326" i="10" s="1"/>
  <c r="F391" i="10" s="1"/>
  <c r="E251" i="10"/>
  <c r="E252" i="10" s="1"/>
  <c r="D251" i="10"/>
  <c r="A251" i="10"/>
  <c r="E250" i="10"/>
  <c r="D250" i="10"/>
  <c r="A250" i="10"/>
  <c r="G241" i="10"/>
  <c r="G35" i="10" s="1"/>
  <c r="F241" i="10"/>
  <c r="F35" i="10" s="1"/>
  <c r="I240" i="10"/>
  <c r="I438" i="10" s="1"/>
  <c r="H240" i="10"/>
  <c r="H438" i="10" s="1"/>
  <c r="G240" i="10"/>
  <c r="F240" i="10"/>
  <c r="F438" i="10" s="1"/>
  <c r="E240" i="10"/>
  <c r="J238" i="10"/>
  <c r="J240" i="10" s="1"/>
  <c r="J438" i="10" s="1"/>
  <c r="I238" i="10"/>
  <c r="H238" i="10"/>
  <c r="G234" i="10"/>
  <c r="F234" i="10"/>
  <c r="E234" i="10"/>
  <c r="E241" i="10" s="1"/>
  <c r="E35" i="10" s="1"/>
  <c r="I430" i="10"/>
  <c r="J422" i="10"/>
  <c r="I422" i="10"/>
  <c r="H422" i="10"/>
  <c r="I408" i="10"/>
  <c r="J225" i="10"/>
  <c r="I225" i="10"/>
  <c r="I27" i="10" s="1"/>
  <c r="H225" i="10"/>
  <c r="H27" i="10" s="1"/>
  <c r="G225" i="10"/>
  <c r="G27" i="10" s="1"/>
  <c r="F225" i="10"/>
  <c r="E225" i="10"/>
  <c r="I204" i="10"/>
  <c r="F204" i="10"/>
  <c r="E191" i="10"/>
  <c r="D191" i="10"/>
  <c r="A191" i="10"/>
  <c r="J190" i="10"/>
  <c r="I190" i="10"/>
  <c r="F190" i="10"/>
  <c r="E190" i="10"/>
  <c r="D190" i="10"/>
  <c r="A190" i="10"/>
  <c r="J189" i="10"/>
  <c r="I189" i="10"/>
  <c r="F189" i="10"/>
  <c r="E189" i="10"/>
  <c r="D189" i="10"/>
  <c r="A189" i="10"/>
  <c r="J188" i="10"/>
  <c r="J192" i="10" s="1"/>
  <c r="I188" i="10"/>
  <c r="F188" i="10"/>
  <c r="E188" i="10"/>
  <c r="D188" i="10"/>
  <c r="A188" i="10"/>
  <c r="J187" i="10"/>
  <c r="I187" i="10"/>
  <c r="F187" i="10"/>
  <c r="E187" i="10"/>
  <c r="D187" i="10"/>
  <c r="A187" i="10"/>
  <c r="J186" i="10"/>
  <c r="I186" i="10"/>
  <c r="F186" i="10"/>
  <c r="E186" i="10"/>
  <c r="D186" i="10"/>
  <c r="A186" i="10"/>
  <c r="J185" i="10"/>
  <c r="I185" i="10"/>
  <c r="F185" i="10"/>
  <c r="E185" i="10"/>
  <c r="D185" i="10"/>
  <c r="A185" i="10"/>
  <c r="G175" i="10"/>
  <c r="F175" i="10"/>
  <c r="F34" i="10" s="1"/>
  <c r="J174" i="10"/>
  <c r="I174" i="10"/>
  <c r="H174" i="10"/>
  <c r="H437" i="10" s="1"/>
  <c r="G174" i="10"/>
  <c r="G437" i="10" s="1"/>
  <c r="F174" i="10"/>
  <c r="E174" i="10"/>
  <c r="H160" i="10"/>
  <c r="H175" i="10" s="1"/>
  <c r="H34" i="10" s="1"/>
  <c r="G160" i="10"/>
  <c r="F160" i="10"/>
  <c r="E160" i="10"/>
  <c r="J429" i="10"/>
  <c r="I429" i="10"/>
  <c r="H429" i="10"/>
  <c r="J421" i="10"/>
  <c r="I421" i="10"/>
  <c r="J414" i="10"/>
  <c r="I414" i="10"/>
  <c r="J407" i="10"/>
  <c r="J151" i="10"/>
  <c r="I151" i="10"/>
  <c r="I26" i="10" s="1"/>
  <c r="H151" i="10"/>
  <c r="G151" i="10"/>
  <c r="F151" i="10"/>
  <c r="E151" i="10"/>
  <c r="E26" i="10" s="1"/>
  <c r="I266" i="10"/>
  <c r="I326" i="10" s="1"/>
  <c r="I391" i="10" s="1"/>
  <c r="H204" i="10"/>
  <c r="G266" i="10"/>
  <c r="G326" i="10" s="1"/>
  <c r="G391" i="10" s="1"/>
  <c r="J120" i="10"/>
  <c r="I120" i="10"/>
  <c r="F120" i="10"/>
  <c r="E120" i="10"/>
  <c r="D120" i="10"/>
  <c r="A120" i="10"/>
  <c r="J119" i="10"/>
  <c r="I119" i="10"/>
  <c r="F119" i="10"/>
  <c r="E119" i="10"/>
  <c r="D119" i="10"/>
  <c r="A119" i="10"/>
  <c r="J118" i="10"/>
  <c r="I118" i="10"/>
  <c r="F118" i="10"/>
  <c r="E118" i="10"/>
  <c r="J121" i="10" s="1"/>
  <c r="D118" i="10"/>
  <c r="A118" i="10"/>
  <c r="J117" i="10"/>
  <c r="I117" i="10"/>
  <c r="F117" i="10"/>
  <c r="E117" i="10"/>
  <c r="D117" i="10"/>
  <c r="A117" i="10"/>
  <c r="J116" i="10"/>
  <c r="I116" i="10"/>
  <c r="F116" i="10"/>
  <c r="E116" i="10"/>
  <c r="D116" i="10"/>
  <c r="A116" i="10"/>
  <c r="J111" i="10"/>
  <c r="J444" i="10" s="1"/>
  <c r="I111" i="10"/>
  <c r="I444" i="10" s="1"/>
  <c r="H111" i="10"/>
  <c r="G111" i="10"/>
  <c r="F111" i="10"/>
  <c r="E111" i="10"/>
  <c r="E444" i="10" s="1"/>
  <c r="G98" i="10"/>
  <c r="G33" i="10" s="1"/>
  <c r="E98" i="10"/>
  <c r="E33" i="10" s="1"/>
  <c r="J97" i="10"/>
  <c r="J436" i="10" s="1"/>
  <c r="G97" i="10"/>
  <c r="F97" i="10"/>
  <c r="E97" i="10"/>
  <c r="E436" i="10" s="1"/>
  <c r="J94" i="10"/>
  <c r="I94" i="10"/>
  <c r="I97" i="10" s="1"/>
  <c r="I436" i="10" s="1"/>
  <c r="H94" i="10"/>
  <c r="H97" i="10" s="1"/>
  <c r="H436" i="10" s="1"/>
  <c r="I81" i="10"/>
  <c r="I98" i="10" s="1"/>
  <c r="I33" i="10" s="1"/>
  <c r="G81" i="10"/>
  <c r="F81" i="10"/>
  <c r="F98" i="10" s="1"/>
  <c r="F33" i="10" s="1"/>
  <c r="E81" i="10"/>
  <c r="I428" i="10"/>
  <c r="I420" i="10"/>
  <c r="H420" i="10"/>
  <c r="J413" i="10"/>
  <c r="J418" i="10" s="1"/>
  <c r="J43" i="10" s="1"/>
  <c r="I413" i="10"/>
  <c r="H413" i="10"/>
  <c r="J72" i="10"/>
  <c r="I72" i="10"/>
  <c r="H72" i="10"/>
  <c r="H25" i="10" s="1"/>
  <c r="H30" i="10" s="1"/>
  <c r="G72" i="10"/>
  <c r="F72" i="10"/>
  <c r="F25" i="10" s="1"/>
  <c r="E72" i="10"/>
  <c r="J58" i="10"/>
  <c r="I58" i="10"/>
  <c r="H58" i="10"/>
  <c r="G58" i="10"/>
  <c r="F58" i="10"/>
  <c r="E58" i="10"/>
  <c r="C58" i="10"/>
  <c r="B58" i="10"/>
  <c r="A58" i="10"/>
  <c r="J57" i="10"/>
  <c r="I57" i="10"/>
  <c r="H57" i="10"/>
  <c r="G57" i="10"/>
  <c r="F57" i="10"/>
  <c r="E57" i="10"/>
  <c r="C57" i="10"/>
  <c r="B57" i="10"/>
  <c r="A57" i="10"/>
  <c r="J56" i="10"/>
  <c r="I56" i="10"/>
  <c r="H56" i="10"/>
  <c r="G56" i="10"/>
  <c r="F56" i="10"/>
  <c r="E56" i="10"/>
  <c r="C56" i="10"/>
  <c r="B56" i="10"/>
  <c r="A56" i="10"/>
  <c r="J472" i="10" s="1"/>
  <c r="J55" i="10"/>
  <c r="I55" i="10"/>
  <c r="H55" i="10"/>
  <c r="G55" i="10"/>
  <c r="F55" i="10"/>
  <c r="E55" i="10"/>
  <c r="C55" i="10"/>
  <c r="B55" i="10"/>
  <c r="A55" i="10"/>
  <c r="J54" i="10"/>
  <c r="I54" i="10"/>
  <c r="H54" i="10"/>
  <c r="G54" i="10"/>
  <c r="F54" i="10"/>
  <c r="E54" i="10"/>
  <c r="C54" i="10"/>
  <c r="B54" i="10"/>
  <c r="A54" i="10"/>
  <c r="J53" i="10"/>
  <c r="I53" i="10"/>
  <c r="H53" i="10"/>
  <c r="G53" i="10"/>
  <c r="F53" i="10"/>
  <c r="E53" i="10"/>
  <c r="C53" i="10"/>
  <c r="B53" i="10"/>
  <c r="A53" i="10"/>
  <c r="J52" i="10"/>
  <c r="I52" i="10"/>
  <c r="H52" i="10"/>
  <c r="G52" i="10"/>
  <c r="F52" i="10"/>
  <c r="F59" i="10" s="1"/>
  <c r="E52" i="10"/>
  <c r="C52" i="10"/>
  <c r="B52" i="10"/>
  <c r="A52" i="10"/>
  <c r="J51" i="10"/>
  <c r="I51" i="10"/>
  <c r="H51" i="10"/>
  <c r="G51" i="10"/>
  <c r="G59" i="10" s="1"/>
  <c r="F51" i="10"/>
  <c r="C51" i="10"/>
  <c r="B51" i="10"/>
  <c r="A51" i="10"/>
  <c r="F44" i="10"/>
  <c r="F37" i="10"/>
  <c r="G34" i="10"/>
  <c r="J29" i="10"/>
  <c r="I29" i="10"/>
  <c r="H29" i="10"/>
  <c r="G29" i="10"/>
  <c r="F29" i="10"/>
  <c r="H28" i="10"/>
  <c r="G28" i="10"/>
  <c r="F28" i="10"/>
  <c r="J27" i="10"/>
  <c r="F27" i="10"/>
  <c r="E27" i="10"/>
  <c r="J26" i="10"/>
  <c r="H26" i="10"/>
  <c r="G26" i="10"/>
  <c r="F26" i="10"/>
  <c r="J25" i="10"/>
  <c r="I25" i="10"/>
  <c r="G25" i="10"/>
  <c r="E25" i="10"/>
  <c r="E30" i="10" s="1"/>
  <c r="I187" i="9"/>
  <c r="G182" i="9"/>
  <c r="G181" i="9"/>
  <c r="I177" i="9"/>
  <c r="E176" i="9"/>
  <c r="G172" i="9"/>
  <c r="E167" i="9"/>
  <c r="G166" i="9"/>
  <c r="G165" i="9"/>
  <c r="I161" i="9"/>
  <c r="H161" i="9"/>
  <c r="H158" i="9"/>
  <c r="E157" i="9"/>
  <c r="I156" i="9"/>
  <c r="I154" i="9"/>
  <c r="E154" i="9"/>
  <c r="I151" i="9"/>
  <c r="G151" i="9"/>
  <c r="I149" i="9"/>
  <c r="E149" i="9"/>
  <c r="I147" i="9"/>
  <c r="H142" i="9"/>
  <c r="G142" i="9"/>
  <c r="F142" i="9"/>
  <c r="J141" i="9"/>
  <c r="J142" i="9" s="1"/>
  <c r="I141" i="9"/>
  <c r="I142" i="9" s="1"/>
  <c r="H141" i="9"/>
  <c r="G141" i="9"/>
  <c r="F141" i="9"/>
  <c r="E141" i="9"/>
  <c r="E142" i="9" s="1"/>
  <c r="H138" i="9"/>
  <c r="H38" i="9" s="1"/>
  <c r="G138" i="9"/>
  <c r="G38" i="9" s="1"/>
  <c r="G137" i="9"/>
  <c r="E137" i="9"/>
  <c r="E138" i="9" s="1"/>
  <c r="E38" i="9" s="1"/>
  <c r="H134" i="9"/>
  <c r="H37" i="9" s="1"/>
  <c r="F134" i="9"/>
  <c r="J133" i="9"/>
  <c r="J134" i="9" s="1"/>
  <c r="G133" i="9"/>
  <c r="G134" i="9" s="1"/>
  <c r="G37" i="9" s="1"/>
  <c r="F133" i="9"/>
  <c r="E133" i="9"/>
  <c r="E134" i="9" s="1"/>
  <c r="E37" i="9" s="1"/>
  <c r="H130" i="9"/>
  <c r="G130" i="9"/>
  <c r="G36" i="9" s="1"/>
  <c r="J129" i="9"/>
  <c r="J130" i="9" s="1"/>
  <c r="J36" i="9" s="1"/>
  <c r="H129" i="9"/>
  <c r="G129" i="9"/>
  <c r="F129" i="9"/>
  <c r="F130" i="9" s="1"/>
  <c r="F36" i="9" s="1"/>
  <c r="E129" i="9"/>
  <c r="E130" i="9" s="1"/>
  <c r="I126" i="9"/>
  <c r="I35" i="9" s="1"/>
  <c r="G126" i="9"/>
  <c r="G35" i="9" s="1"/>
  <c r="E126" i="9"/>
  <c r="I125" i="9"/>
  <c r="G125" i="9"/>
  <c r="F125" i="9"/>
  <c r="F126" i="9" s="1"/>
  <c r="F35" i="9" s="1"/>
  <c r="E125" i="9"/>
  <c r="J122" i="9"/>
  <c r="J34" i="9" s="1"/>
  <c r="G121" i="9"/>
  <c r="G122" i="9" s="1"/>
  <c r="G34" i="9" s="1"/>
  <c r="F121" i="9"/>
  <c r="F122" i="9" s="1"/>
  <c r="E121" i="9"/>
  <c r="E122" i="9" s="1"/>
  <c r="E34" i="9" s="1"/>
  <c r="E39" i="9" s="1"/>
  <c r="E50" i="9" s="1"/>
  <c r="J94" i="9"/>
  <c r="E93" i="9"/>
  <c r="D93" i="9"/>
  <c r="A93" i="9"/>
  <c r="J92" i="9"/>
  <c r="I92" i="9"/>
  <c r="F92" i="9"/>
  <c r="E92" i="9"/>
  <c r="D92" i="9"/>
  <c r="A92" i="9"/>
  <c r="J91" i="9"/>
  <c r="I91" i="9"/>
  <c r="F91" i="9"/>
  <c r="E91" i="9"/>
  <c r="D91" i="9"/>
  <c r="A91" i="9"/>
  <c r="G81" i="9"/>
  <c r="G29" i="9" s="1"/>
  <c r="H80" i="9"/>
  <c r="H137" i="9" s="1"/>
  <c r="G80" i="9"/>
  <c r="F80" i="9"/>
  <c r="E80" i="9"/>
  <c r="J74" i="9"/>
  <c r="J155" i="9" s="1"/>
  <c r="I74" i="9"/>
  <c r="H74" i="9"/>
  <c r="H155" i="9" s="1"/>
  <c r="J73" i="9"/>
  <c r="I73" i="9"/>
  <c r="I80" i="9" s="1"/>
  <c r="I137" i="9" s="1"/>
  <c r="I138" i="9" s="1"/>
  <c r="H73" i="9"/>
  <c r="J70" i="9"/>
  <c r="H70" i="9"/>
  <c r="H81" i="9" s="1"/>
  <c r="H29" i="9" s="1"/>
  <c r="H30" i="9" s="1"/>
  <c r="G70" i="9"/>
  <c r="F70" i="9"/>
  <c r="E70" i="9"/>
  <c r="E81" i="9" s="1"/>
  <c r="H133" i="9"/>
  <c r="I129" i="9"/>
  <c r="I130" i="9" s="1"/>
  <c r="I36" i="9" s="1"/>
  <c r="J125" i="9"/>
  <c r="J126" i="9" s="1"/>
  <c r="H125" i="9"/>
  <c r="H126" i="9" s="1"/>
  <c r="H35" i="9" s="1"/>
  <c r="J121" i="9"/>
  <c r="H146" i="9"/>
  <c r="J61" i="9"/>
  <c r="J25" i="9" s="1"/>
  <c r="I61" i="9"/>
  <c r="I25" i="9" s="1"/>
  <c r="I26" i="9" s="1"/>
  <c r="H61" i="9"/>
  <c r="G61" i="9"/>
  <c r="F61" i="9"/>
  <c r="F25" i="9" s="1"/>
  <c r="F26" i="9" s="1"/>
  <c r="E61" i="9"/>
  <c r="J48" i="9"/>
  <c r="I48" i="9"/>
  <c r="H48" i="9"/>
  <c r="G48" i="9"/>
  <c r="F48" i="9"/>
  <c r="E48" i="9"/>
  <c r="I38" i="9"/>
  <c r="J37" i="9"/>
  <c r="F37" i="9"/>
  <c r="H36" i="9"/>
  <c r="E36" i="9"/>
  <c r="J35" i="9"/>
  <c r="E35" i="9"/>
  <c r="F34" i="9"/>
  <c r="G30" i="9"/>
  <c r="E29" i="9"/>
  <c r="E30" i="9" s="1"/>
  <c r="J26" i="9"/>
  <c r="E26" i="9"/>
  <c r="H25" i="9"/>
  <c r="H26" i="9" s="1"/>
  <c r="G25" i="9"/>
  <c r="G26" i="9" s="1"/>
  <c r="E25" i="9"/>
  <c r="J556" i="8"/>
  <c r="J538" i="8"/>
  <c r="I538" i="8"/>
  <c r="H538" i="8"/>
  <c r="G538" i="8"/>
  <c r="F538" i="8"/>
  <c r="E538" i="8"/>
  <c r="J537" i="8"/>
  <c r="I537" i="8"/>
  <c r="H537" i="8"/>
  <c r="G537" i="8"/>
  <c r="F537" i="8"/>
  <c r="E537" i="8"/>
  <c r="J536" i="8"/>
  <c r="I536" i="8"/>
  <c r="H536" i="8"/>
  <c r="G536" i="8"/>
  <c r="F536" i="8"/>
  <c r="E536" i="8"/>
  <c r="J535" i="8"/>
  <c r="I535" i="8"/>
  <c r="H535" i="8"/>
  <c r="H539" i="8" s="1"/>
  <c r="G535" i="8"/>
  <c r="F535" i="8"/>
  <c r="E535" i="8"/>
  <c r="J534" i="8"/>
  <c r="I534" i="8"/>
  <c r="H534" i="8"/>
  <c r="G534" i="8"/>
  <c r="F534" i="8"/>
  <c r="E534" i="8"/>
  <c r="J533" i="8"/>
  <c r="F533" i="8"/>
  <c r="H529" i="8"/>
  <c r="G529" i="8"/>
  <c r="F529" i="8"/>
  <c r="I528" i="8"/>
  <c r="H528" i="8"/>
  <c r="F528" i="8"/>
  <c r="E528" i="8"/>
  <c r="J527" i="8"/>
  <c r="G527" i="8"/>
  <c r="J526" i="8"/>
  <c r="I526" i="8"/>
  <c r="F526" i="8"/>
  <c r="E526" i="8"/>
  <c r="F525" i="8"/>
  <c r="F524" i="8"/>
  <c r="G521" i="8"/>
  <c r="G58" i="8" s="1"/>
  <c r="I520" i="8"/>
  <c r="G520" i="8"/>
  <c r="F520" i="8"/>
  <c r="E520" i="8"/>
  <c r="J519" i="8"/>
  <c r="G519" i="8"/>
  <c r="F519" i="8"/>
  <c r="E519" i="8"/>
  <c r="H518" i="8"/>
  <c r="G518" i="8"/>
  <c r="F518" i="8"/>
  <c r="E518" i="8"/>
  <c r="J517" i="8"/>
  <c r="H517" i="8"/>
  <c r="G517" i="8"/>
  <c r="F517" i="8"/>
  <c r="E517" i="8"/>
  <c r="I516" i="8"/>
  <c r="G516" i="8"/>
  <c r="F516" i="8"/>
  <c r="E516" i="8"/>
  <c r="J515" i="8"/>
  <c r="G515" i="8"/>
  <c r="F515" i="8"/>
  <c r="E515" i="8"/>
  <c r="E521" i="8" s="1"/>
  <c r="J511" i="8"/>
  <c r="G511" i="8"/>
  <c r="F511" i="8"/>
  <c r="E511" i="8"/>
  <c r="J510" i="8"/>
  <c r="H510" i="8"/>
  <c r="G510" i="8"/>
  <c r="F510" i="8"/>
  <c r="E510" i="8"/>
  <c r="G509" i="8"/>
  <c r="F509" i="8"/>
  <c r="E509" i="8"/>
  <c r="I508" i="8"/>
  <c r="H508" i="8"/>
  <c r="G508" i="8"/>
  <c r="F508" i="8"/>
  <c r="E508" i="8"/>
  <c r="J507" i="8"/>
  <c r="H507" i="8"/>
  <c r="G507" i="8"/>
  <c r="F507" i="8"/>
  <c r="E507" i="8"/>
  <c r="I506" i="8"/>
  <c r="I512" i="8" s="1"/>
  <c r="I57" i="8" s="1"/>
  <c r="G506" i="8"/>
  <c r="F506" i="8"/>
  <c r="E506" i="8"/>
  <c r="I503" i="8"/>
  <c r="G503" i="8"/>
  <c r="F503" i="8"/>
  <c r="E503" i="8"/>
  <c r="H502" i="8"/>
  <c r="G502" i="8"/>
  <c r="F502" i="8"/>
  <c r="E502" i="8"/>
  <c r="I501" i="8"/>
  <c r="G501" i="8"/>
  <c r="F501" i="8"/>
  <c r="E501" i="8"/>
  <c r="J500" i="8"/>
  <c r="H500" i="8"/>
  <c r="G500" i="8"/>
  <c r="F500" i="8"/>
  <c r="F504" i="8" s="1"/>
  <c r="F56" i="8" s="1"/>
  <c r="E500" i="8"/>
  <c r="I499" i="8"/>
  <c r="G499" i="8"/>
  <c r="F499" i="8"/>
  <c r="E499" i="8"/>
  <c r="J498" i="8"/>
  <c r="H498" i="8"/>
  <c r="G498" i="8"/>
  <c r="G504" i="8" s="1"/>
  <c r="G56" i="8" s="1"/>
  <c r="F498" i="8"/>
  <c r="E498" i="8"/>
  <c r="E496" i="8"/>
  <c r="E55" i="8" s="1"/>
  <c r="J495" i="8"/>
  <c r="H495" i="8"/>
  <c r="G495" i="8"/>
  <c r="F495" i="8"/>
  <c r="E495" i="8"/>
  <c r="J494" i="8"/>
  <c r="H494" i="8"/>
  <c r="G494" i="8"/>
  <c r="F494" i="8"/>
  <c r="E494" i="8"/>
  <c r="J493" i="8"/>
  <c r="G493" i="8"/>
  <c r="F493" i="8"/>
  <c r="E493" i="8"/>
  <c r="I492" i="8"/>
  <c r="G492" i="8"/>
  <c r="F492" i="8"/>
  <c r="E492" i="8"/>
  <c r="J491" i="8"/>
  <c r="H491" i="8"/>
  <c r="G491" i="8"/>
  <c r="F491" i="8"/>
  <c r="E491" i="8"/>
  <c r="H490" i="8"/>
  <c r="G490" i="8"/>
  <c r="F490" i="8"/>
  <c r="F496" i="8" s="1"/>
  <c r="F55" i="8" s="1"/>
  <c r="E490" i="8"/>
  <c r="J478" i="8"/>
  <c r="I478" i="8"/>
  <c r="H478" i="8"/>
  <c r="G478" i="8"/>
  <c r="F478" i="8"/>
  <c r="J464" i="8"/>
  <c r="I464" i="8"/>
  <c r="F464" i="8"/>
  <c r="E464" i="8"/>
  <c r="D464" i="8"/>
  <c r="A464" i="8"/>
  <c r="J463" i="8"/>
  <c r="I463" i="8"/>
  <c r="F463" i="8"/>
  <c r="E463" i="8"/>
  <c r="D463" i="8"/>
  <c r="A463" i="8"/>
  <c r="J462" i="8"/>
  <c r="I462" i="8"/>
  <c r="F462" i="8"/>
  <c r="E462" i="8"/>
  <c r="J465" i="8" s="1"/>
  <c r="D462" i="8"/>
  <c r="A462" i="8"/>
  <c r="J450" i="8"/>
  <c r="J529" i="8" s="1"/>
  <c r="I450" i="8"/>
  <c r="I529" i="8" s="1"/>
  <c r="H450" i="8"/>
  <c r="G450" i="8"/>
  <c r="F450" i="8"/>
  <c r="E450" i="8"/>
  <c r="E529" i="8" s="1"/>
  <c r="E530" i="8" s="1"/>
  <c r="E59" i="8" s="1"/>
  <c r="G443" i="8"/>
  <c r="G451" i="8" s="1"/>
  <c r="G50" i="8" s="1"/>
  <c r="F443" i="8"/>
  <c r="F451" i="8" s="1"/>
  <c r="F50" i="8" s="1"/>
  <c r="E443" i="8"/>
  <c r="J520" i="8"/>
  <c r="H520" i="8"/>
  <c r="I511" i="8"/>
  <c r="J503" i="8"/>
  <c r="H503" i="8"/>
  <c r="J434" i="8"/>
  <c r="I434" i="8"/>
  <c r="H434" i="8"/>
  <c r="G434" i="8"/>
  <c r="G41" i="8" s="1"/>
  <c r="F434" i="8"/>
  <c r="E434" i="8"/>
  <c r="J415" i="8"/>
  <c r="I415" i="8"/>
  <c r="H415" i="8"/>
  <c r="G415" i="8"/>
  <c r="F415" i="8"/>
  <c r="J399" i="8"/>
  <c r="I399" i="8"/>
  <c r="F399" i="8"/>
  <c r="E399" i="8"/>
  <c r="D399" i="8"/>
  <c r="A399" i="8"/>
  <c r="J398" i="8"/>
  <c r="I398" i="8"/>
  <c r="F398" i="8"/>
  <c r="E398" i="8"/>
  <c r="D398" i="8"/>
  <c r="A398" i="8"/>
  <c r="J397" i="8"/>
  <c r="I397" i="8"/>
  <c r="F397" i="8"/>
  <c r="E397" i="8"/>
  <c r="D397" i="8"/>
  <c r="A397" i="8"/>
  <c r="J386" i="8"/>
  <c r="J528" i="8" s="1"/>
  <c r="I386" i="8"/>
  <c r="H386" i="8"/>
  <c r="G386" i="8"/>
  <c r="G528" i="8" s="1"/>
  <c r="F386" i="8"/>
  <c r="E386" i="8"/>
  <c r="H375" i="8"/>
  <c r="H387" i="8" s="1"/>
  <c r="G375" i="8"/>
  <c r="G387" i="8" s="1"/>
  <c r="G49" i="8" s="1"/>
  <c r="F375" i="8"/>
  <c r="F387" i="8" s="1"/>
  <c r="F49" i="8" s="1"/>
  <c r="E375" i="8"/>
  <c r="E387" i="8" s="1"/>
  <c r="E49" i="8" s="1"/>
  <c r="I519" i="8"/>
  <c r="H519" i="8"/>
  <c r="I510" i="8"/>
  <c r="I502" i="8"/>
  <c r="J366" i="8"/>
  <c r="J40" i="8" s="1"/>
  <c r="I366" i="8"/>
  <c r="H366" i="8"/>
  <c r="G366" i="8"/>
  <c r="F366" i="8"/>
  <c r="F40" i="8" s="1"/>
  <c r="E366" i="8"/>
  <c r="E40" i="8" s="1"/>
  <c r="J349" i="8"/>
  <c r="I349" i="8"/>
  <c r="H349" i="8"/>
  <c r="G349" i="8"/>
  <c r="F349" i="8"/>
  <c r="E334" i="8"/>
  <c r="E321" i="8"/>
  <c r="E48" i="8" s="1"/>
  <c r="H320" i="8"/>
  <c r="H527" i="8" s="1"/>
  <c r="G320" i="8"/>
  <c r="E320" i="8"/>
  <c r="E527" i="8" s="1"/>
  <c r="F318" i="8"/>
  <c r="F320" i="8" s="1"/>
  <c r="F527" i="8" s="1"/>
  <c r="I314" i="8"/>
  <c r="J313" i="8"/>
  <c r="J320" i="8" s="1"/>
  <c r="I313" i="8"/>
  <c r="G310" i="8"/>
  <c r="G321" i="8" s="1"/>
  <c r="F310" i="8"/>
  <c r="E310" i="8"/>
  <c r="H310" i="8"/>
  <c r="H321" i="8" s="1"/>
  <c r="H48" i="8" s="1"/>
  <c r="J518" i="8"/>
  <c r="I518" i="8"/>
  <c r="I509" i="8"/>
  <c r="H509" i="8"/>
  <c r="H493" i="8"/>
  <c r="J301" i="8"/>
  <c r="J39" i="8" s="1"/>
  <c r="I301" i="8"/>
  <c r="H301" i="8"/>
  <c r="G301" i="8"/>
  <c r="F301" i="8"/>
  <c r="E301" i="8"/>
  <c r="E39" i="8" s="1"/>
  <c r="J265" i="8"/>
  <c r="I265" i="8"/>
  <c r="F265" i="8"/>
  <c r="E265" i="8"/>
  <c r="D265" i="8"/>
  <c r="A265" i="8"/>
  <c r="J264" i="8"/>
  <c r="I264" i="8"/>
  <c r="F264" i="8"/>
  <c r="E264" i="8"/>
  <c r="D264" i="8"/>
  <c r="A264" i="8"/>
  <c r="J263" i="8"/>
  <c r="I263" i="8"/>
  <c r="F263" i="8"/>
  <c r="E263" i="8"/>
  <c r="J266" i="8" s="1"/>
  <c r="D263" i="8"/>
  <c r="A263" i="8"/>
  <c r="F252" i="8"/>
  <c r="J251" i="8"/>
  <c r="I251" i="8"/>
  <c r="H251" i="8"/>
  <c r="H526" i="8" s="1"/>
  <c r="G251" i="8"/>
  <c r="G526" i="8" s="1"/>
  <c r="F251" i="8"/>
  <c r="E251" i="8"/>
  <c r="G244" i="8"/>
  <c r="G252" i="8" s="1"/>
  <c r="G47" i="8" s="1"/>
  <c r="F244" i="8"/>
  <c r="E244" i="8"/>
  <c r="E252" i="8" s="1"/>
  <c r="E47" i="8" s="1"/>
  <c r="I517" i="8"/>
  <c r="J508" i="8"/>
  <c r="I500" i="8"/>
  <c r="J492" i="8"/>
  <c r="J235" i="8"/>
  <c r="I235" i="8"/>
  <c r="I38" i="8" s="1"/>
  <c r="H235" i="8"/>
  <c r="G235" i="8"/>
  <c r="F235" i="8"/>
  <c r="F38" i="8" s="1"/>
  <c r="E235" i="8"/>
  <c r="E38" i="8" s="1"/>
  <c r="J197" i="8"/>
  <c r="I197" i="8"/>
  <c r="F197" i="8"/>
  <c r="E197" i="8"/>
  <c r="D197" i="8"/>
  <c r="A197" i="8"/>
  <c r="J196" i="8"/>
  <c r="I196" i="8"/>
  <c r="F196" i="8"/>
  <c r="E196" i="8"/>
  <c r="D196" i="8"/>
  <c r="A196" i="8"/>
  <c r="J195" i="8"/>
  <c r="I195" i="8"/>
  <c r="F195" i="8"/>
  <c r="E195" i="8"/>
  <c r="D195" i="8"/>
  <c r="A195" i="8"/>
  <c r="J194" i="8"/>
  <c r="I194" i="8"/>
  <c r="F194" i="8"/>
  <c r="E194" i="8"/>
  <c r="D194" i="8"/>
  <c r="A194" i="8"/>
  <c r="E184" i="8"/>
  <c r="E46" i="8" s="1"/>
  <c r="G183" i="8"/>
  <c r="G525" i="8" s="1"/>
  <c r="F183" i="8"/>
  <c r="E183" i="8"/>
  <c r="E525" i="8" s="1"/>
  <c r="J179" i="8"/>
  <c r="J183" i="8" s="1"/>
  <c r="J525" i="8" s="1"/>
  <c r="I179" i="8"/>
  <c r="H179" i="8"/>
  <c r="F179" i="8"/>
  <c r="J178" i="8"/>
  <c r="I178" i="8"/>
  <c r="I183" i="8" s="1"/>
  <c r="I525" i="8" s="1"/>
  <c r="H178" i="8"/>
  <c r="F178" i="8"/>
  <c r="G174" i="8"/>
  <c r="G184" i="8" s="1"/>
  <c r="G46" i="8" s="1"/>
  <c r="F174" i="8"/>
  <c r="E174" i="8"/>
  <c r="H516" i="8"/>
  <c r="I507" i="8"/>
  <c r="J499" i="8"/>
  <c r="J164" i="8"/>
  <c r="I164" i="8"/>
  <c r="H164" i="8"/>
  <c r="H37" i="8" s="1"/>
  <c r="G164" i="8"/>
  <c r="F164" i="8"/>
  <c r="E164" i="8"/>
  <c r="E118" i="8"/>
  <c r="D118" i="8"/>
  <c r="A118" i="8"/>
  <c r="J117" i="8"/>
  <c r="I117" i="8"/>
  <c r="F117" i="8"/>
  <c r="E117" i="8"/>
  <c r="D117" i="8"/>
  <c r="A117" i="8"/>
  <c r="J116" i="8"/>
  <c r="I116" i="8"/>
  <c r="F116" i="8"/>
  <c r="E116" i="8"/>
  <c r="D116" i="8"/>
  <c r="A116" i="8"/>
  <c r="F578" i="8" s="1"/>
  <c r="J115" i="8"/>
  <c r="I115" i="8"/>
  <c r="F115" i="8"/>
  <c r="E115" i="8"/>
  <c r="D115" i="8"/>
  <c r="A115" i="8"/>
  <c r="J111" i="8"/>
  <c r="I111" i="8"/>
  <c r="I533" i="8" s="1"/>
  <c r="I539" i="8" s="1"/>
  <c r="H111" i="8"/>
  <c r="H533" i="8" s="1"/>
  <c r="G111" i="8"/>
  <c r="G533" i="8" s="1"/>
  <c r="G539" i="8" s="1"/>
  <c r="F111" i="8"/>
  <c r="E111" i="8"/>
  <c r="E533" i="8" s="1"/>
  <c r="G103" i="8"/>
  <c r="I102" i="8"/>
  <c r="I524" i="8" s="1"/>
  <c r="G102" i="8"/>
  <c r="G524" i="8" s="1"/>
  <c r="F102" i="8"/>
  <c r="E102" i="8"/>
  <c r="E524" i="8" s="1"/>
  <c r="J99" i="8"/>
  <c r="I99" i="8"/>
  <c r="H99" i="8"/>
  <c r="J97" i="8"/>
  <c r="J102" i="8" s="1"/>
  <c r="J524" i="8" s="1"/>
  <c r="J530" i="8" s="1"/>
  <c r="J59" i="8" s="1"/>
  <c r="I97" i="8"/>
  <c r="H97" i="8"/>
  <c r="H102" i="8" s="1"/>
  <c r="H524" i="8" s="1"/>
  <c r="G89" i="8"/>
  <c r="F89" i="8"/>
  <c r="F103" i="8" s="1"/>
  <c r="E89" i="8"/>
  <c r="E103" i="8" s="1"/>
  <c r="E45" i="8" s="1"/>
  <c r="I515" i="8"/>
  <c r="H515" i="8"/>
  <c r="H521" i="8" s="1"/>
  <c r="H58" i="8" s="1"/>
  <c r="J418" i="1" s="1"/>
  <c r="J506" i="8"/>
  <c r="H506" i="8"/>
  <c r="I498" i="8"/>
  <c r="J80" i="8"/>
  <c r="J36" i="8" s="1"/>
  <c r="I80" i="8"/>
  <c r="I36" i="8" s="1"/>
  <c r="G80" i="8"/>
  <c r="G36" i="8" s="1"/>
  <c r="F80" i="8"/>
  <c r="E80" i="8"/>
  <c r="E36" i="8" s="1"/>
  <c r="J79" i="8"/>
  <c r="I79" i="8"/>
  <c r="H79" i="8"/>
  <c r="H80" i="8" s="1"/>
  <c r="H67" i="8"/>
  <c r="F67" i="8"/>
  <c r="J66" i="8"/>
  <c r="I66" i="8"/>
  <c r="H66" i="8"/>
  <c r="G66" i="8"/>
  <c r="F66" i="8"/>
  <c r="E66" i="8"/>
  <c r="C66" i="8"/>
  <c r="B66" i="8"/>
  <c r="A66" i="8"/>
  <c r="J65" i="8"/>
  <c r="J67" i="8" s="1"/>
  <c r="I65" i="8"/>
  <c r="H65" i="8"/>
  <c r="G65" i="8"/>
  <c r="F65" i="8"/>
  <c r="E65" i="8"/>
  <c r="C65" i="8"/>
  <c r="B65" i="8"/>
  <c r="A65" i="8"/>
  <c r="J64" i="8"/>
  <c r="I64" i="8"/>
  <c r="I67" i="8" s="1"/>
  <c r="H64" i="8"/>
  <c r="G64" i="8"/>
  <c r="F64" i="8"/>
  <c r="E64" i="8"/>
  <c r="E67" i="8" s="1"/>
  <c r="C64" i="8"/>
  <c r="B64" i="8"/>
  <c r="A64" i="8"/>
  <c r="E58" i="8"/>
  <c r="H49" i="8"/>
  <c r="G48" i="8"/>
  <c r="F47" i="8"/>
  <c r="F45" i="8"/>
  <c r="G42" i="8"/>
  <c r="J41" i="8"/>
  <c r="I41" i="8"/>
  <c r="H41" i="8"/>
  <c r="F41" i="8"/>
  <c r="E41" i="8"/>
  <c r="I40" i="8"/>
  <c r="H40" i="8"/>
  <c r="G40" i="8"/>
  <c r="I39" i="8"/>
  <c r="H39" i="8"/>
  <c r="G39" i="8"/>
  <c r="F39" i="8"/>
  <c r="J38" i="8"/>
  <c r="H38" i="8"/>
  <c r="G38" i="8"/>
  <c r="J37" i="8"/>
  <c r="I37" i="8"/>
  <c r="G37" i="8"/>
  <c r="F37" i="8"/>
  <c r="E37" i="8"/>
  <c r="H36" i="8"/>
  <c r="F36" i="8"/>
  <c r="E183" i="7"/>
  <c r="E182" i="7"/>
  <c r="I180" i="7"/>
  <c r="G180" i="7"/>
  <c r="I178" i="7"/>
  <c r="J177" i="7"/>
  <c r="I176" i="7"/>
  <c r="H176" i="7"/>
  <c r="E175" i="7"/>
  <c r="G174" i="7"/>
  <c r="I173" i="7"/>
  <c r="I172" i="7"/>
  <c r="I171" i="7"/>
  <c r="I170" i="7"/>
  <c r="E170" i="7"/>
  <c r="I169" i="7"/>
  <c r="G168" i="7"/>
  <c r="G167" i="7"/>
  <c r="G166" i="7"/>
  <c r="E166" i="7"/>
  <c r="E165" i="7"/>
  <c r="E164" i="7"/>
  <c r="F163" i="7"/>
  <c r="E163" i="7"/>
  <c r="J161" i="7"/>
  <c r="G161" i="7"/>
  <c r="G160" i="7"/>
  <c r="F160" i="7"/>
  <c r="J158" i="7"/>
  <c r="G158" i="7"/>
  <c r="I157" i="7"/>
  <c r="E157" i="7"/>
  <c r="F156" i="7"/>
  <c r="F155" i="7"/>
  <c r="J154" i="7"/>
  <c r="G154" i="7"/>
  <c r="E154" i="7"/>
  <c r="G153" i="7"/>
  <c r="H152" i="7"/>
  <c r="G152" i="7"/>
  <c r="I151" i="7"/>
  <c r="G151" i="7"/>
  <c r="F151" i="7"/>
  <c r="I150" i="7"/>
  <c r="I149" i="7"/>
  <c r="H149" i="7"/>
  <c r="E149" i="7"/>
  <c r="I148" i="7"/>
  <c r="F148" i="7"/>
  <c r="I147" i="7"/>
  <c r="F147" i="7"/>
  <c r="E147" i="7"/>
  <c r="G146" i="7"/>
  <c r="E146" i="7"/>
  <c r="H145" i="7"/>
  <c r="H144" i="7"/>
  <c r="G144" i="7"/>
  <c r="F144" i="7"/>
  <c r="I143" i="7"/>
  <c r="G143" i="7"/>
  <c r="J142" i="7"/>
  <c r="I142" i="7"/>
  <c r="J137" i="7"/>
  <c r="H137" i="7"/>
  <c r="E137" i="7"/>
  <c r="J136" i="7"/>
  <c r="I136" i="7"/>
  <c r="I137" i="7" s="1"/>
  <c r="H136" i="7"/>
  <c r="G136" i="7"/>
  <c r="G137" i="7" s="1"/>
  <c r="F136" i="7"/>
  <c r="F137" i="7" s="1"/>
  <c r="E136" i="7"/>
  <c r="G134" i="7"/>
  <c r="G34" i="7" s="1"/>
  <c r="F134" i="7"/>
  <c r="F34" i="7" s="1"/>
  <c r="G133" i="7"/>
  <c r="H131" i="7"/>
  <c r="H33" i="7" s="1"/>
  <c r="G131" i="7"/>
  <c r="I130" i="7"/>
  <c r="I131" i="7" s="1"/>
  <c r="I33" i="7" s="1"/>
  <c r="H130" i="7"/>
  <c r="G130" i="7"/>
  <c r="F130" i="7"/>
  <c r="F131" i="7" s="1"/>
  <c r="E130" i="7"/>
  <c r="E131" i="7" s="1"/>
  <c r="G128" i="7"/>
  <c r="G32" i="7" s="1"/>
  <c r="F128" i="7"/>
  <c r="F32" i="7" s="1"/>
  <c r="E128" i="7"/>
  <c r="E32" i="7" s="1"/>
  <c r="G127" i="7"/>
  <c r="F127" i="7"/>
  <c r="E127" i="7"/>
  <c r="I125" i="7"/>
  <c r="G125" i="7"/>
  <c r="E125" i="7"/>
  <c r="I124" i="7"/>
  <c r="H124" i="7"/>
  <c r="H125" i="7" s="1"/>
  <c r="H31" i="7" s="1"/>
  <c r="G124" i="7"/>
  <c r="F124" i="7"/>
  <c r="F125" i="7" s="1"/>
  <c r="E124" i="7"/>
  <c r="G122" i="7"/>
  <c r="G30" i="7" s="1"/>
  <c r="G35" i="7" s="1"/>
  <c r="G42" i="7" s="1"/>
  <c r="F122" i="7"/>
  <c r="F30" i="7" s="1"/>
  <c r="J121" i="7"/>
  <c r="J122" i="7" s="1"/>
  <c r="J30" i="7" s="1"/>
  <c r="I121" i="7"/>
  <c r="I122" i="7" s="1"/>
  <c r="G121" i="7"/>
  <c r="F121" i="7"/>
  <c r="E121" i="7"/>
  <c r="E122" i="7" s="1"/>
  <c r="J91" i="7"/>
  <c r="I91" i="7"/>
  <c r="F91" i="7"/>
  <c r="E91" i="7"/>
  <c r="D91" i="7"/>
  <c r="A91" i="7"/>
  <c r="J90" i="7"/>
  <c r="I90" i="7"/>
  <c r="F90" i="7"/>
  <c r="E90" i="7"/>
  <c r="D90" i="7"/>
  <c r="A90" i="7"/>
  <c r="G182" i="7" s="1"/>
  <c r="J89" i="7"/>
  <c r="I89" i="7"/>
  <c r="F89" i="7"/>
  <c r="E89" i="7"/>
  <c r="D89" i="7"/>
  <c r="A89" i="7"/>
  <c r="J88" i="7"/>
  <c r="I88" i="7"/>
  <c r="F88" i="7"/>
  <c r="E88" i="7"/>
  <c r="D88" i="7"/>
  <c r="A88" i="7"/>
  <c r="J182" i="7" s="1"/>
  <c r="G77" i="7"/>
  <c r="G25" i="7" s="1"/>
  <c r="F77" i="7"/>
  <c r="F25" i="7" s="1"/>
  <c r="J76" i="7"/>
  <c r="J133" i="7" s="1"/>
  <c r="J134" i="7" s="1"/>
  <c r="J34" i="7" s="1"/>
  <c r="H76" i="7"/>
  <c r="H133" i="7" s="1"/>
  <c r="H134" i="7" s="1"/>
  <c r="G76" i="7"/>
  <c r="F76" i="7"/>
  <c r="F133" i="7" s="1"/>
  <c r="E76" i="7"/>
  <c r="J74" i="7"/>
  <c r="J164" i="7" s="1"/>
  <c r="I74" i="7"/>
  <c r="I164" i="7" s="1"/>
  <c r="H74" i="7"/>
  <c r="H164" i="7" s="1"/>
  <c r="J70" i="7"/>
  <c r="J156" i="7" s="1"/>
  <c r="I70" i="7"/>
  <c r="H70" i="7"/>
  <c r="I62" i="7"/>
  <c r="G62" i="7"/>
  <c r="F62" i="7"/>
  <c r="E62" i="7"/>
  <c r="J127" i="7"/>
  <c r="J128" i="7" s="1"/>
  <c r="J32" i="7" s="1"/>
  <c r="H127" i="7"/>
  <c r="H128" i="7" s="1"/>
  <c r="H143" i="7"/>
  <c r="J53" i="7"/>
  <c r="J21" i="7" s="1"/>
  <c r="I53" i="7"/>
  <c r="H53" i="7"/>
  <c r="G53" i="7"/>
  <c r="G21" i="7" s="1"/>
  <c r="G22" i="7" s="1"/>
  <c r="F53" i="7"/>
  <c r="F21" i="7" s="1"/>
  <c r="F22" i="7" s="1"/>
  <c r="E53" i="7"/>
  <c r="J40" i="7"/>
  <c r="I40" i="7"/>
  <c r="H40" i="7"/>
  <c r="G40" i="7"/>
  <c r="F40" i="7"/>
  <c r="E40" i="7"/>
  <c r="H34" i="7"/>
  <c r="G33" i="7"/>
  <c r="F33" i="7"/>
  <c r="E33" i="7"/>
  <c r="H32" i="7"/>
  <c r="I31" i="7"/>
  <c r="G31" i="7"/>
  <c r="F31" i="7"/>
  <c r="E31" i="7"/>
  <c r="I30" i="7"/>
  <c r="E30" i="7"/>
  <c r="G26" i="7"/>
  <c r="F26" i="7"/>
  <c r="J22" i="7"/>
  <c r="I21" i="7"/>
  <c r="I22" i="7" s="1"/>
  <c r="H21" i="7"/>
  <c r="H22" i="7" s="1"/>
  <c r="E21" i="7"/>
  <c r="E22" i="7" s="1"/>
  <c r="J369" i="6"/>
  <c r="H355" i="6"/>
  <c r="J349" i="6"/>
  <c r="G349" i="6"/>
  <c r="F349" i="6"/>
  <c r="J348" i="6"/>
  <c r="I348" i="6"/>
  <c r="H348" i="6"/>
  <c r="G348" i="6"/>
  <c r="F348" i="6"/>
  <c r="E348" i="6"/>
  <c r="J347" i="6"/>
  <c r="I347" i="6"/>
  <c r="H347" i="6"/>
  <c r="G347" i="6"/>
  <c r="F347" i="6"/>
  <c r="E347" i="6"/>
  <c r="J346" i="6"/>
  <c r="I346" i="6"/>
  <c r="H346" i="6"/>
  <c r="G346" i="6"/>
  <c r="F346" i="6"/>
  <c r="E346" i="6"/>
  <c r="J345" i="6"/>
  <c r="I345" i="6"/>
  <c r="I349" i="6" s="1"/>
  <c r="H345" i="6"/>
  <c r="H349" i="6" s="1"/>
  <c r="G345" i="6"/>
  <c r="F345" i="6"/>
  <c r="E345" i="6"/>
  <c r="E349" i="6" s="1"/>
  <c r="H342" i="6"/>
  <c r="G342" i="6"/>
  <c r="I341" i="6"/>
  <c r="G341" i="6"/>
  <c r="J340" i="6"/>
  <c r="H340" i="6"/>
  <c r="J339" i="6"/>
  <c r="F339" i="6"/>
  <c r="G337" i="6"/>
  <c r="G39" i="6" s="1"/>
  <c r="J336" i="6"/>
  <c r="H336" i="6"/>
  <c r="G336" i="6"/>
  <c r="F336" i="6"/>
  <c r="E336" i="6"/>
  <c r="J335" i="6"/>
  <c r="I335" i="6"/>
  <c r="H335" i="6"/>
  <c r="G335" i="6"/>
  <c r="F335" i="6"/>
  <c r="E335" i="6"/>
  <c r="J334" i="6"/>
  <c r="H334" i="6"/>
  <c r="G334" i="6"/>
  <c r="F334" i="6"/>
  <c r="F337" i="6" s="1"/>
  <c r="F39" i="6" s="1"/>
  <c r="E334" i="6"/>
  <c r="J333" i="6"/>
  <c r="J337" i="6" s="1"/>
  <c r="H333" i="6"/>
  <c r="G333" i="6"/>
  <c r="F333" i="6"/>
  <c r="E333" i="6"/>
  <c r="E337" i="6" s="1"/>
  <c r="E39" i="6" s="1"/>
  <c r="E331" i="6"/>
  <c r="G330" i="6"/>
  <c r="F330" i="6"/>
  <c r="E330" i="6"/>
  <c r="J329" i="6"/>
  <c r="I329" i="6"/>
  <c r="H329" i="6"/>
  <c r="G329" i="6"/>
  <c r="F329" i="6"/>
  <c r="E329" i="6"/>
  <c r="H328" i="6"/>
  <c r="G328" i="6"/>
  <c r="F328" i="6"/>
  <c r="E328" i="6"/>
  <c r="J327" i="6"/>
  <c r="G327" i="6"/>
  <c r="F327" i="6"/>
  <c r="F331" i="6" s="1"/>
  <c r="F38" i="6" s="1"/>
  <c r="E327" i="6"/>
  <c r="J324" i="6"/>
  <c r="H324" i="6"/>
  <c r="G324" i="6"/>
  <c r="F324" i="6"/>
  <c r="E324" i="6"/>
  <c r="J323" i="6"/>
  <c r="I323" i="6"/>
  <c r="H323" i="6"/>
  <c r="G323" i="6"/>
  <c r="F323" i="6"/>
  <c r="E323" i="6"/>
  <c r="J322" i="6"/>
  <c r="I322" i="6"/>
  <c r="H322" i="6"/>
  <c r="G322" i="6"/>
  <c r="F322" i="6"/>
  <c r="E322" i="6"/>
  <c r="J321" i="6"/>
  <c r="J325" i="6" s="1"/>
  <c r="J37" i="6" s="1"/>
  <c r="G321" i="6"/>
  <c r="G325" i="6" s="1"/>
  <c r="G37" i="6" s="1"/>
  <c r="F321" i="6"/>
  <c r="E321" i="6"/>
  <c r="H318" i="6"/>
  <c r="G318" i="6"/>
  <c r="F318" i="6"/>
  <c r="E318" i="6"/>
  <c r="J317" i="6"/>
  <c r="I317" i="6"/>
  <c r="H317" i="6"/>
  <c r="G317" i="6"/>
  <c r="F317" i="6"/>
  <c r="F319" i="6" s="1"/>
  <c r="F36" i="6" s="1"/>
  <c r="E317" i="6"/>
  <c r="G316" i="6"/>
  <c r="F316" i="6"/>
  <c r="E316" i="6"/>
  <c r="H315" i="6"/>
  <c r="G315" i="6"/>
  <c r="F315" i="6"/>
  <c r="E315" i="6"/>
  <c r="E319" i="6" s="1"/>
  <c r="E36" i="6" s="1"/>
  <c r="E290" i="6"/>
  <c r="H278" i="6"/>
  <c r="J277" i="6"/>
  <c r="J342" i="6" s="1"/>
  <c r="I277" i="6"/>
  <c r="I342" i="6" s="1"/>
  <c r="H277" i="6"/>
  <c r="G277" i="6"/>
  <c r="F277" i="6"/>
  <c r="F278" i="6" s="1"/>
  <c r="F31" i="6" s="1"/>
  <c r="E277" i="6"/>
  <c r="E342" i="6" s="1"/>
  <c r="G265" i="6"/>
  <c r="G278" i="6" s="1"/>
  <c r="G31" i="6" s="1"/>
  <c r="F265" i="6"/>
  <c r="E265" i="6"/>
  <c r="I336" i="6"/>
  <c r="J330" i="6"/>
  <c r="I330" i="6"/>
  <c r="H330" i="6"/>
  <c r="J265" i="6"/>
  <c r="I318" i="6"/>
  <c r="H265" i="6"/>
  <c r="J256" i="6"/>
  <c r="I256" i="6"/>
  <c r="I24" i="6" s="1"/>
  <c r="H256" i="6"/>
  <c r="G256" i="6"/>
  <c r="F256" i="6"/>
  <c r="E256" i="6"/>
  <c r="E24" i="6" s="1"/>
  <c r="J224" i="6"/>
  <c r="I224" i="6"/>
  <c r="F224" i="6"/>
  <c r="E224" i="6"/>
  <c r="D224" i="6"/>
  <c r="A224" i="6"/>
  <c r="J223" i="6"/>
  <c r="I223" i="6"/>
  <c r="F223" i="6"/>
  <c r="E223" i="6"/>
  <c r="D223" i="6"/>
  <c r="A223" i="6"/>
  <c r="J222" i="6"/>
  <c r="I222" i="6"/>
  <c r="F222" i="6"/>
  <c r="E222" i="6"/>
  <c r="D222" i="6"/>
  <c r="A222" i="6"/>
  <c r="J221" i="6"/>
  <c r="I221" i="6"/>
  <c r="F221" i="6"/>
  <c r="E221" i="6"/>
  <c r="D221" i="6"/>
  <c r="A221" i="6"/>
  <c r="H210" i="6"/>
  <c r="H30" i="6" s="1"/>
  <c r="J209" i="6"/>
  <c r="J341" i="6" s="1"/>
  <c r="I209" i="6"/>
  <c r="H209" i="6"/>
  <c r="H341" i="6" s="1"/>
  <c r="G209" i="6"/>
  <c r="F209" i="6"/>
  <c r="F341" i="6" s="1"/>
  <c r="E209" i="6"/>
  <c r="J195" i="6"/>
  <c r="I195" i="6"/>
  <c r="H195" i="6"/>
  <c r="G195" i="6"/>
  <c r="G210" i="6" s="1"/>
  <c r="G30" i="6" s="1"/>
  <c r="F195" i="6"/>
  <c r="F210" i="6" s="1"/>
  <c r="F30" i="6" s="1"/>
  <c r="E195" i="6"/>
  <c r="J186" i="6"/>
  <c r="J23" i="6" s="1"/>
  <c r="I186" i="6"/>
  <c r="H186" i="6"/>
  <c r="G186" i="6"/>
  <c r="G23" i="6" s="1"/>
  <c r="F186" i="6"/>
  <c r="F23" i="6" s="1"/>
  <c r="E186" i="6"/>
  <c r="E159" i="6"/>
  <c r="D159" i="6"/>
  <c r="A159" i="6"/>
  <c r="E158" i="6"/>
  <c r="E160" i="6" s="1"/>
  <c r="D158" i="6"/>
  <c r="A158" i="6"/>
  <c r="G147" i="6"/>
  <c r="G29" i="6" s="1"/>
  <c r="J146" i="6"/>
  <c r="I146" i="6"/>
  <c r="I340" i="6" s="1"/>
  <c r="H146" i="6"/>
  <c r="G146" i="6"/>
  <c r="G340" i="6" s="1"/>
  <c r="F146" i="6"/>
  <c r="F147" i="6" s="1"/>
  <c r="F29" i="6" s="1"/>
  <c r="F32" i="6" s="1"/>
  <c r="E146" i="6"/>
  <c r="E340" i="6" s="1"/>
  <c r="I135" i="6"/>
  <c r="G135" i="6"/>
  <c r="F135" i="6"/>
  <c r="E135" i="6"/>
  <c r="I334" i="6"/>
  <c r="I328" i="6"/>
  <c r="I316" i="6"/>
  <c r="J126" i="6"/>
  <c r="I126" i="6"/>
  <c r="I22" i="6" s="1"/>
  <c r="H126" i="6"/>
  <c r="H22" i="6" s="1"/>
  <c r="G126" i="6"/>
  <c r="F126" i="6"/>
  <c r="E126" i="6"/>
  <c r="E22" i="6" s="1"/>
  <c r="E96" i="6"/>
  <c r="D96" i="6"/>
  <c r="A96" i="6"/>
  <c r="E95" i="6"/>
  <c r="D95" i="6"/>
  <c r="A95" i="6"/>
  <c r="E94" i="6"/>
  <c r="D94" i="6"/>
  <c r="A94" i="6"/>
  <c r="E93" i="6"/>
  <c r="E97" i="6" s="1"/>
  <c r="D93" i="6"/>
  <c r="A93" i="6"/>
  <c r="J82" i="6"/>
  <c r="G82" i="6"/>
  <c r="G339" i="6" s="1"/>
  <c r="F82" i="6"/>
  <c r="E82" i="6"/>
  <c r="J80" i="6"/>
  <c r="I80" i="6"/>
  <c r="I82" i="6" s="1"/>
  <c r="I339" i="6" s="1"/>
  <c r="I343" i="6" s="1"/>
  <c r="I40" i="6" s="1"/>
  <c r="H80" i="6"/>
  <c r="G68" i="6"/>
  <c r="G83" i="6" s="1"/>
  <c r="G28" i="6" s="1"/>
  <c r="F68" i="6"/>
  <c r="F83" i="6" s="1"/>
  <c r="E68" i="6"/>
  <c r="I333" i="6"/>
  <c r="H358" i="6"/>
  <c r="H327" i="6"/>
  <c r="H331" i="6" s="1"/>
  <c r="H38" i="6" s="1"/>
  <c r="I321" i="6"/>
  <c r="H68" i="6"/>
  <c r="J68" i="6"/>
  <c r="J83" i="6" s="1"/>
  <c r="J28" i="6" s="1"/>
  <c r="I315" i="6"/>
  <c r="I319" i="6" s="1"/>
  <c r="I36" i="6" s="1"/>
  <c r="J59" i="6"/>
  <c r="J21" i="6" s="1"/>
  <c r="J25" i="6" s="1"/>
  <c r="H59" i="6"/>
  <c r="H21" i="6" s="1"/>
  <c r="G59" i="6"/>
  <c r="G21" i="6" s="1"/>
  <c r="F59" i="6"/>
  <c r="E59" i="6"/>
  <c r="J58" i="6"/>
  <c r="I58" i="6"/>
  <c r="I59" i="6" s="1"/>
  <c r="I21" i="6" s="1"/>
  <c r="I25" i="6" s="1"/>
  <c r="H58" i="6"/>
  <c r="G58" i="6"/>
  <c r="J46" i="6"/>
  <c r="I46" i="6"/>
  <c r="H46" i="6"/>
  <c r="G46" i="6"/>
  <c r="F46" i="6"/>
  <c r="E46" i="6"/>
  <c r="J39" i="6"/>
  <c r="E38" i="6"/>
  <c r="H31" i="6"/>
  <c r="F28" i="6"/>
  <c r="J24" i="6"/>
  <c r="H24" i="6"/>
  <c r="G24" i="6"/>
  <c r="F24" i="6"/>
  <c r="I23" i="6"/>
  <c r="H23" i="6"/>
  <c r="E23" i="6"/>
  <c r="J22" i="6"/>
  <c r="G22" i="6"/>
  <c r="F22" i="6"/>
  <c r="F21" i="6"/>
  <c r="E21" i="6"/>
  <c r="F187" i="5"/>
  <c r="F184" i="5"/>
  <c r="I182" i="5"/>
  <c r="F181" i="5"/>
  <c r="E178" i="5"/>
  <c r="H176" i="5"/>
  <c r="E175" i="5"/>
  <c r="E172" i="5"/>
  <c r="H170" i="5"/>
  <c r="F169" i="5"/>
  <c r="H166" i="5"/>
  <c r="F165" i="5"/>
  <c r="J163" i="5"/>
  <c r="F161" i="5"/>
  <c r="J159" i="5"/>
  <c r="H158" i="5"/>
  <c r="J155" i="5"/>
  <c r="H154" i="5"/>
  <c r="F153" i="5"/>
  <c r="H150" i="5"/>
  <c r="F149" i="5"/>
  <c r="J147" i="5"/>
  <c r="H143" i="5"/>
  <c r="E143" i="5"/>
  <c r="J142" i="5"/>
  <c r="J143" i="5" s="1"/>
  <c r="I142" i="5"/>
  <c r="I143" i="5" s="1"/>
  <c r="H142" i="5"/>
  <c r="G142" i="5"/>
  <c r="G143" i="5" s="1"/>
  <c r="F142" i="5"/>
  <c r="F143" i="5" s="1"/>
  <c r="E142" i="5"/>
  <c r="I139" i="5"/>
  <c r="I37" i="5" s="1"/>
  <c r="G139" i="5"/>
  <c r="G37" i="5" s="1"/>
  <c r="J138" i="5"/>
  <c r="J139" i="5" s="1"/>
  <c r="J37" i="5" s="1"/>
  <c r="I138" i="5"/>
  <c r="F138" i="5"/>
  <c r="F139" i="5" s="1"/>
  <c r="E138" i="5"/>
  <c r="E139" i="5" s="1"/>
  <c r="E37" i="5" s="1"/>
  <c r="E135" i="5"/>
  <c r="E36" i="5" s="1"/>
  <c r="J134" i="5"/>
  <c r="J135" i="5" s="1"/>
  <c r="J36" i="5" s="1"/>
  <c r="I134" i="5"/>
  <c r="I135" i="5" s="1"/>
  <c r="I36" i="5" s="1"/>
  <c r="G134" i="5"/>
  <c r="G135" i="5" s="1"/>
  <c r="G36" i="5" s="1"/>
  <c r="F134" i="5"/>
  <c r="F135" i="5" s="1"/>
  <c r="F36" i="5" s="1"/>
  <c r="E134" i="5"/>
  <c r="G131" i="5"/>
  <c r="J130" i="5"/>
  <c r="J131" i="5" s="1"/>
  <c r="J35" i="5" s="1"/>
  <c r="G130" i="5"/>
  <c r="F130" i="5"/>
  <c r="F131" i="5" s="1"/>
  <c r="F35" i="5" s="1"/>
  <c r="E130" i="5"/>
  <c r="E131" i="5" s="1"/>
  <c r="E35" i="5" s="1"/>
  <c r="H127" i="5"/>
  <c r="E127" i="5"/>
  <c r="I126" i="5"/>
  <c r="I127" i="5" s="1"/>
  <c r="I34" i="5" s="1"/>
  <c r="G126" i="5"/>
  <c r="G127" i="5" s="1"/>
  <c r="G34" i="5" s="1"/>
  <c r="F126" i="5"/>
  <c r="F127" i="5" s="1"/>
  <c r="F34" i="5" s="1"/>
  <c r="E126" i="5"/>
  <c r="G123" i="5"/>
  <c r="G33" i="5" s="1"/>
  <c r="J122" i="5"/>
  <c r="J123" i="5" s="1"/>
  <c r="J33" i="5" s="1"/>
  <c r="G122" i="5"/>
  <c r="F122" i="5"/>
  <c r="F123" i="5" s="1"/>
  <c r="E122" i="5"/>
  <c r="E123" i="5" s="1"/>
  <c r="E33" i="5" s="1"/>
  <c r="E38" i="5" s="1"/>
  <c r="E45" i="5" s="1"/>
  <c r="J95" i="5"/>
  <c r="F95" i="5"/>
  <c r="E95" i="5"/>
  <c r="D95" i="5"/>
  <c r="A95" i="5"/>
  <c r="J94" i="5"/>
  <c r="I94" i="5"/>
  <c r="F94" i="5"/>
  <c r="E94" i="5"/>
  <c r="D94" i="5"/>
  <c r="A94" i="5"/>
  <c r="J93" i="5"/>
  <c r="I93" i="5"/>
  <c r="F93" i="5"/>
  <c r="E93" i="5"/>
  <c r="D93" i="5"/>
  <c r="A93" i="5"/>
  <c r="J92" i="5"/>
  <c r="I92" i="5"/>
  <c r="F92" i="5"/>
  <c r="E92" i="5"/>
  <c r="D92" i="5"/>
  <c r="A92" i="5"/>
  <c r="F82" i="5"/>
  <c r="F28" i="5" s="1"/>
  <c r="F29" i="5" s="1"/>
  <c r="J81" i="5"/>
  <c r="I81" i="5"/>
  <c r="H81" i="5"/>
  <c r="H138" i="5" s="1"/>
  <c r="H139" i="5" s="1"/>
  <c r="H37" i="5" s="1"/>
  <c r="G81" i="5"/>
  <c r="G138" i="5" s="1"/>
  <c r="F81" i="5"/>
  <c r="E81" i="5"/>
  <c r="J69" i="5"/>
  <c r="H69" i="5"/>
  <c r="H82" i="5" s="1"/>
  <c r="H28" i="5" s="1"/>
  <c r="H29" i="5" s="1"/>
  <c r="G69" i="5"/>
  <c r="F69" i="5"/>
  <c r="E69" i="5"/>
  <c r="E82" i="5" s="1"/>
  <c r="E28" i="5" s="1"/>
  <c r="E29" i="5" s="1"/>
  <c r="H151" i="5"/>
  <c r="H130" i="5"/>
  <c r="H131" i="5" s="1"/>
  <c r="H35" i="5" s="1"/>
  <c r="J148" i="5"/>
  <c r="H126" i="5"/>
  <c r="I147" i="5"/>
  <c r="J60" i="5"/>
  <c r="J24" i="5" s="1"/>
  <c r="J25" i="5" s="1"/>
  <c r="I60" i="5"/>
  <c r="I24" i="5" s="1"/>
  <c r="I25" i="5" s="1"/>
  <c r="H60" i="5"/>
  <c r="H24" i="5" s="1"/>
  <c r="G60" i="5"/>
  <c r="F60" i="5"/>
  <c r="E60" i="5"/>
  <c r="E24" i="5" s="1"/>
  <c r="J43" i="5"/>
  <c r="I43" i="5"/>
  <c r="H43" i="5"/>
  <c r="G43" i="5"/>
  <c r="F43" i="5"/>
  <c r="E43" i="5"/>
  <c r="F37" i="5"/>
  <c r="G35" i="5"/>
  <c r="H34" i="5"/>
  <c r="H415" i="1" s="1"/>
  <c r="E34" i="5"/>
  <c r="F33" i="5"/>
  <c r="H25" i="5"/>
  <c r="E25" i="5"/>
  <c r="G24" i="5"/>
  <c r="G25" i="5" s="1"/>
  <c r="F24" i="5"/>
  <c r="F25" i="5" s="1"/>
  <c r="I177" i="4"/>
  <c r="F177" i="4"/>
  <c r="I176" i="4"/>
  <c r="G176" i="4"/>
  <c r="J175" i="4"/>
  <c r="G175" i="4"/>
  <c r="E175" i="4"/>
  <c r="H174" i="4"/>
  <c r="E174" i="4"/>
  <c r="I173" i="4"/>
  <c r="G173" i="4"/>
  <c r="F173" i="4"/>
  <c r="I172" i="4"/>
  <c r="G172" i="4"/>
  <c r="E172" i="4"/>
  <c r="J171" i="4"/>
  <c r="G171" i="4"/>
  <c r="E171" i="4"/>
  <c r="I170" i="4"/>
  <c r="H170" i="4"/>
  <c r="E170" i="4"/>
  <c r="I169" i="4"/>
  <c r="G169" i="4"/>
  <c r="F169" i="4"/>
  <c r="I168" i="4"/>
  <c r="G168" i="4"/>
  <c r="E168" i="4"/>
  <c r="J167" i="4"/>
  <c r="G167" i="4"/>
  <c r="E167" i="4"/>
  <c r="I166" i="4"/>
  <c r="H166" i="4"/>
  <c r="E166" i="4"/>
  <c r="I165" i="4"/>
  <c r="G165" i="4"/>
  <c r="F165" i="4"/>
  <c r="I164" i="4"/>
  <c r="G164" i="4"/>
  <c r="E164" i="4"/>
  <c r="J163" i="4"/>
  <c r="G163" i="4"/>
  <c r="E163" i="4"/>
  <c r="I162" i="4"/>
  <c r="H162" i="4"/>
  <c r="E162" i="4"/>
  <c r="I161" i="4"/>
  <c r="G161" i="4"/>
  <c r="F161" i="4"/>
  <c r="I160" i="4"/>
  <c r="G160" i="4"/>
  <c r="E160" i="4"/>
  <c r="J159" i="4"/>
  <c r="G159" i="4"/>
  <c r="E159" i="4"/>
  <c r="I158" i="4"/>
  <c r="H158" i="4"/>
  <c r="E158" i="4"/>
  <c r="I157" i="4"/>
  <c r="G157" i="4"/>
  <c r="F157" i="4"/>
  <c r="I156" i="4"/>
  <c r="G156" i="4"/>
  <c r="E156" i="4"/>
  <c r="J155" i="4"/>
  <c r="G155" i="4"/>
  <c r="E155" i="4"/>
  <c r="I154" i="4"/>
  <c r="H154" i="4"/>
  <c r="E154" i="4"/>
  <c r="I153" i="4"/>
  <c r="G153" i="4"/>
  <c r="F153" i="4"/>
  <c r="I152" i="4"/>
  <c r="G152" i="4"/>
  <c r="E152" i="4"/>
  <c r="J151" i="4"/>
  <c r="G151" i="4"/>
  <c r="E151" i="4"/>
  <c r="I150" i="4"/>
  <c r="H150" i="4"/>
  <c r="E150" i="4"/>
  <c r="I149" i="4"/>
  <c r="G149" i="4"/>
  <c r="F149" i="4"/>
  <c r="I148" i="4"/>
  <c r="G148" i="4"/>
  <c r="E148" i="4"/>
  <c r="J147" i="4"/>
  <c r="G147" i="4"/>
  <c r="E147" i="4"/>
  <c r="I146" i="4"/>
  <c r="H146" i="4"/>
  <c r="E146" i="4"/>
  <c r="I145" i="4"/>
  <c r="G145" i="4"/>
  <c r="F145" i="4"/>
  <c r="I144" i="4"/>
  <c r="G144" i="4"/>
  <c r="E144" i="4"/>
  <c r="J143" i="4"/>
  <c r="G143" i="4"/>
  <c r="E143" i="4"/>
  <c r="I142" i="4"/>
  <c r="H142" i="4"/>
  <c r="E142" i="4"/>
  <c r="I141" i="4"/>
  <c r="G141" i="4"/>
  <c r="F141" i="4"/>
  <c r="I140" i="4"/>
  <c r="G140" i="4"/>
  <c r="E140" i="4"/>
  <c r="G139" i="4"/>
  <c r="E139" i="4"/>
  <c r="I138" i="4"/>
  <c r="H138" i="4"/>
  <c r="E138" i="4"/>
  <c r="I137" i="4"/>
  <c r="G137" i="4"/>
  <c r="F137" i="4"/>
  <c r="I136" i="4"/>
  <c r="G136" i="4"/>
  <c r="E136" i="4"/>
  <c r="J132" i="4"/>
  <c r="G132" i="4"/>
  <c r="F132" i="4"/>
  <c r="J131" i="4"/>
  <c r="I131" i="4"/>
  <c r="I132" i="4" s="1"/>
  <c r="H131" i="4"/>
  <c r="H132" i="4" s="1"/>
  <c r="G131" i="4"/>
  <c r="F131" i="4"/>
  <c r="E131" i="4"/>
  <c r="E132" i="4" s="1"/>
  <c r="I128" i="4"/>
  <c r="I34" i="4" s="1"/>
  <c r="F128" i="4"/>
  <c r="F34" i="4" s="1"/>
  <c r="I127" i="4"/>
  <c r="G127" i="4"/>
  <c r="G128" i="4" s="1"/>
  <c r="G34" i="4" s="1"/>
  <c r="E127" i="4"/>
  <c r="E128" i="4" s="1"/>
  <c r="E34" i="4" s="1"/>
  <c r="G124" i="4"/>
  <c r="G33" i="4" s="1"/>
  <c r="F124" i="4"/>
  <c r="I123" i="4"/>
  <c r="I124" i="4" s="1"/>
  <c r="I33" i="4" s="1"/>
  <c r="H123" i="4"/>
  <c r="H124" i="4" s="1"/>
  <c r="G123" i="4"/>
  <c r="F123" i="4"/>
  <c r="E123" i="4"/>
  <c r="E124" i="4" s="1"/>
  <c r="E33" i="4" s="1"/>
  <c r="G120" i="4"/>
  <c r="G32" i="4" s="1"/>
  <c r="F120" i="4"/>
  <c r="I119" i="4"/>
  <c r="I120" i="4" s="1"/>
  <c r="I32" i="4" s="1"/>
  <c r="H119" i="4"/>
  <c r="H120" i="4" s="1"/>
  <c r="G119" i="4"/>
  <c r="F119" i="4"/>
  <c r="E119" i="4"/>
  <c r="E120" i="4" s="1"/>
  <c r="E32" i="4" s="1"/>
  <c r="G116" i="4"/>
  <c r="G31" i="4" s="1"/>
  <c r="F116" i="4"/>
  <c r="E116" i="4"/>
  <c r="E31" i="4" s="1"/>
  <c r="I115" i="4"/>
  <c r="I116" i="4" s="1"/>
  <c r="I31" i="4" s="1"/>
  <c r="H115" i="4"/>
  <c r="H116" i="4" s="1"/>
  <c r="H31" i="4" s="1"/>
  <c r="G115" i="4"/>
  <c r="F115" i="4"/>
  <c r="E115" i="4"/>
  <c r="I112" i="4"/>
  <c r="I30" i="4" s="1"/>
  <c r="I35" i="4" s="1"/>
  <c r="I42" i="4" s="1"/>
  <c r="F112" i="4"/>
  <c r="F30" i="4" s="1"/>
  <c r="I111" i="4"/>
  <c r="G111" i="4"/>
  <c r="G112" i="4" s="1"/>
  <c r="G30" i="4" s="1"/>
  <c r="F111" i="4"/>
  <c r="E111" i="4"/>
  <c r="E112" i="4" s="1"/>
  <c r="E30" i="4" s="1"/>
  <c r="E35" i="4" s="1"/>
  <c r="E42" i="4" s="1"/>
  <c r="E84" i="4"/>
  <c r="E83" i="4"/>
  <c r="D83" i="4"/>
  <c r="A83" i="4"/>
  <c r="E82" i="4"/>
  <c r="D82" i="4"/>
  <c r="A82" i="4"/>
  <c r="E81" i="4"/>
  <c r="D81" i="4"/>
  <c r="A81" i="4"/>
  <c r="E177" i="4" s="1"/>
  <c r="F70" i="4"/>
  <c r="F25" i="4" s="1"/>
  <c r="F26" i="4" s="1"/>
  <c r="E70" i="4"/>
  <c r="E25" i="4" s="1"/>
  <c r="E26" i="4" s="1"/>
  <c r="J69" i="4"/>
  <c r="J127" i="4" s="1"/>
  <c r="J128" i="4" s="1"/>
  <c r="J34" i="4" s="1"/>
  <c r="I69" i="4"/>
  <c r="H69" i="4"/>
  <c r="H127" i="4" s="1"/>
  <c r="H128" i="4" s="1"/>
  <c r="H34" i="4" s="1"/>
  <c r="G69" i="4"/>
  <c r="G70" i="4" s="1"/>
  <c r="G25" i="4" s="1"/>
  <c r="G26" i="4" s="1"/>
  <c r="F69" i="4"/>
  <c r="F127" i="4" s="1"/>
  <c r="E69" i="4"/>
  <c r="I62" i="4"/>
  <c r="I70" i="4" s="1"/>
  <c r="I25" i="4" s="1"/>
  <c r="I26" i="4" s="1"/>
  <c r="G62" i="4"/>
  <c r="F62" i="4"/>
  <c r="E62" i="4"/>
  <c r="H140" i="4"/>
  <c r="I139" i="4"/>
  <c r="H139" i="4"/>
  <c r="H137" i="4"/>
  <c r="J136" i="4"/>
  <c r="J53" i="4"/>
  <c r="I53" i="4"/>
  <c r="I21" i="4" s="1"/>
  <c r="I22" i="4" s="1"/>
  <c r="H53" i="4"/>
  <c r="G53" i="4"/>
  <c r="F53" i="4"/>
  <c r="F21" i="4" s="1"/>
  <c r="E53" i="4"/>
  <c r="E21" i="4" s="1"/>
  <c r="E22" i="4" s="1"/>
  <c r="J40" i="4"/>
  <c r="I40" i="4"/>
  <c r="H40" i="4"/>
  <c r="G40" i="4"/>
  <c r="F40" i="4"/>
  <c r="E40" i="4"/>
  <c r="F35" i="4"/>
  <c r="F42" i="4" s="1"/>
  <c r="H33" i="4"/>
  <c r="F33" i="4"/>
  <c r="H32" i="4"/>
  <c r="F32" i="4"/>
  <c r="F31" i="4"/>
  <c r="J22" i="4"/>
  <c r="F22" i="4"/>
  <c r="J21" i="4"/>
  <c r="H21" i="4"/>
  <c r="H22" i="4" s="1"/>
  <c r="G21" i="4"/>
  <c r="G22" i="4" s="1"/>
  <c r="E186" i="3"/>
  <c r="G183" i="3"/>
  <c r="I180" i="3"/>
  <c r="E178" i="3"/>
  <c r="G175" i="3"/>
  <c r="I172" i="3"/>
  <c r="E170" i="3"/>
  <c r="G167" i="3"/>
  <c r="I164" i="3"/>
  <c r="E162" i="3"/>
  <c r="G159" i="3"/>
  <c r="I156" i="3"/>
  <c r="E154" i="3"/>
  <c r="G151" i="3"/>
  <c r="I148" i="3"/>
  <c r="E146" i="3"/>
  <c r="J142" i="3"/>
  <c r="I142" i="3"/>
  <c r="F142" i="3"/>
  <c r="J141" i="3"/>
  <c r="I141" i="3"/>
  <c r="H141" i="3"/>
  <c r="H142" i="3" s="1"/>
  <c r="G141" i="3"/>
  <c r="G142" i="3" s="1"/>
  <c r="F141" i="3"/>
  <c r="E141" i="3"/>
  <c r="E142" i="3" s="1"/>
  <c r="G138" i="3"/>
  <c r="G37" i="3" s="1"/>
  <c r="I137" i="3"/>
  <c r="I138" i="3" s="1"/>
  <c r="I37" i="3" s="1"/>
  <c r="E137" i="3"/>
  <c r="E138" i="3" s="1"/>
  <c r="E37" i="3" s="1"/>
  <c r="G134" i="3"/>
  <c r="G36" i="3" s="1"/>
  <c r="F134" i="3"/>
  <c r="I133" i="3"/>
  <c r="I134" i="3" s="1"/>
  <c r="I36" i="3" s="1"/>
  <c r="G133" i="3"/>
  <c r="F133" i="3"/>
  <c r="E133" i="3"/>
  <c r="E134" i="3" s="1"/>
  <c r="E36" i="3" s="1"/>
  <c r="G130" i="3"/>
  <c r="F130" i="3"/>
  <c r="F35" i="3" s="1"/>
  <c r="I129" i="3"/>
  <c r="I130" i="3" s="1"/>
  <c r="I35" i="3" s="1"/>
  <c r="H129" i="3"/>
  <c r="H130" i="3" s="1"/>
  <c r="H35" i="3" s="1"/>
  <c r="G129" i="3"/>
  <c r="F129" i="3"/>
  <c r="E129" i="3"/>
  <c r="E130" i="3" s="1"/>
  <c r="E35" i="3" s="1"/>
  <c r="G126" i="3"/>
  <c r="G34" i="3" s="1"/>
  <c r="F126" i="3"/>
  <c r="H125" i="3"/>
  <c r="H126" i="3" s="1"/>
  <c r="G125" i="3"/>
  <c r="F125" i="3"/>
  <c r="E125" i="3"/>
  <c r="E126" i="3" s="1"/>
  <c r="E34" i="3" s="1"/>
  <c r="J122" i="3"/>
  <c r="J33" i="3" s="1"/>
  <c r="G122" i="3"/>
  <c r="G33" i="3" s="1"/>
  <c r="F122" i="3"/>
  <c r="E122" i="3"/>
  <c r="E33" i="3" s="1"/>
  <c r="J121" i="3"/>
  <c r="I121" i="3"/>
  <c r="I122" i="3" s="1"/>
  <c r="I33" i="3" s="1"/>
  <c r="H121" i="3"/>
  <c r="H122" i="3" s="1"/>
  <c r="G121" i="3"/>
  <c r="F121" i="3"/>
  <c r="E121" i="3"/>
  <c r="E92" i="3"/>
  <c r="D92" i="3"/>
  <c r="A92" i="3"/>
  <c r="J91" i="3"/>
  <c r="I91" i="3"/>
  <c r="F91" i="3"/>
  <c r="E91" i="3"/>
  <c r="D91" i="3"/>
  <c r="A91" i="3"/>
  <c r="J90" i="3"/>
  <c r="I90" i="3"/>
  <c r="F90" i="3"/>
  <c r="E90" i="3"/>
  <c r="D90" i="3"/>
  <c r="A90" i="3"/>
  <c r="J89" i="3"/>
  <c r="I89" i="3"/>
  <c r="F89" i="3"/>
  <c r="E89" i="3"/>
  <c r="D89" i="3"/>
  <c r="A89" i="3"/>
  <c r="J88" i="3"/>
  <c r="I88" i="3"/>
  <c r="F88" i="3"/>
  <c r="E88" i="3"/>
  <c r="J93" i="3" s="1"/>
  <c r="D88" i="3"/>
  <c r="A88" i="3"/>
  <c r="J87" i="3"/>
  <c r="I87" i="3"/>
  <c r="F87" i="3"/>
  <c r="E87" i="3"/>
  <c r="D87" i="3"/>
  <c r="A87" i="3"/>
  <c r="E187" i="3" s="1"/>
  <c r="F77" i="3"/>
  <c r="F28" i="3" s="1"/>
  <c r="J76" i="3"/>
  <c r="J137" i="3" s="1"/>
  <c r="J138" i="3" s="1"/>
  <c r="J37" i="3" s="1"/>
  <c r="I76" i="3"/>
  <c r="H76" i="3"/>
  <c r="H137" i="3" s="1"/>
  <c r="H138" i="3" s="1"/>
  <c r="H37" i="3" s="1"/>
  <c r="G76" i="3"/>
  <c r="G137" i="3" s="1"/>
  <c r="F76" i="3"/>
  <c r="F137" i="3" s="1"/>
  <c r="F138" i="3" s="1"/>
  <c r="E76" i="3"/>
  <c r="J64" i="3"/>
  <c r="J77" i="3" s="1"/>
  <c r="H64" i="3"/>
  <c r="G64" i="3"/>
  <c r="G77" i="3" s="1"/>
  <c r="F64" i="3"/>
  <c r="E64" i="3"/>
  <c r="E77" i="3" s="1"/>
  <c r="E28" i="3" s="1"/>
  <c r="E29" i="3" s="1"/>
  <c r="J133" i="3"/>
  <c r="J134" i="3" s="1"/>
  <c r="J36" i="3" s="1"/>
  <c r="H133" i="3"/>
  <c r="H134" i="3" s="1"/>
  <c r="H36" i="3" s="1"/>
  <c r="J149" i="3"/>
  <c r="I149" i="3"/>
  <c r="H149" i="3"/>
  <c r="J125" i="3"/>
  <c r="J126" i="3" s="1"/>
  <c r="I147" i="3"/>
  <c r="J55" i="3"/>
  <c r="J24" i="3" s="1"/>
  <c r="J25" i="3" s="1"/>
  <c r="I55" i="3"/>
  <c r="I24" i="3" s="1"/>
  <c r="I25" i="3" s="1"/>
  <c r="H55" i="3"/>
  <c r="H24" i="3" s="1"/>
  <c r="H25" i="3" s="1"/>
  <c r="G55" i="3"/>
  <c r="F55" i="3"/>
  <c r="F24" i="3" s="1"/>
  <c r="F25" i="3" s="1"/>
  <c r="E55" i="3"/>
  <c r="E24" i="3" s="1"/>
  <c r="J43" i="3"/>
  <c r="I43" i="3"/>
  <c r="H43" i="3"/>
  <c r="G43" i="3"/>
  <c r="F43" i="3"/>
  <c r="E43" i="3"/>
  <c r="E38" i="3"/>
  <c r="E45" i="3" s="1"/>
  <c r="F37" i="3"/>
  <c r="F36" i="3"/>
  <c r="G35" i="3"/>
  <c r="J34" i="3"/>
  <c r="H34" i="3"/>
  <c r="F34" i="3"/>
  <c r="H33" i="3"/>
  <c r="F33" i="3"/>
  <c r="F38" i="3" s="1"/>
  <c r="F45" i="3" s="1"/>
  <c r="F29" i="3"/>
  <c r="G28" i="3"/>
  <c r="G29" i="3" s="1"/>
  <c r="E25" i="3"/>
  <c r="G24" i="3"/>
  <c r="G25" i="3" s="1"/>
  <c r="J301" i="2"/>
  <c r="H301" i="2"/>
  <c r="J300" i="2"/>
  <c r="I300" i="2"/>
  <c r="H300" i="2"/>
  <c r="G300" i="2"/>
  <c r="F300" i="2"/>
  <c r="E300" i="2"/>
  <c r="J299" i="2"/>
  <c r="I299" i="2"/>
  <c r="H299" i="2"/>
  <c r="G299" i="2"/>
  <c r="F299" i="2"/>
  <c r="E299" i="2"/>
  <c r="J298" i="2"/>
  <c r="I298" i="2"/>
  <c r="H298" i="2"/>
  <c r="G298" i="2"/>
  <c r="G301" i="2" s="1"/>
  <c r="F298" i="2"/>
  <c r="E298" i="2"/>
  <c r="E301" i="2" s="1"/>
  <c r="J294" i="2"/>
  <c r="H294" i="2"/>
  <c r="F294" i="2"/>
  <c r="G293" i="2"/>
  <c r="F293" i="2"/>
  <c r="E293" i="2"/>
  <c r="I292" i="2"/>
  <c r="F292" i="2"/>
  <c r="F295" i="2" s="1"/>
  <c r="F42" i="2" s="1"/>
  <c r="E292" i="2"/>
  <c r="I288" i="2"/>
  <c r="H288" i="2"/>
  <c r="G288" i="2"/>
  <c r="F288" i="2"/>
  <c r="E288" i="2"/>
  <c r="I287" i="2"/>
  <c r="G287" i="2"/>
  <c r="F287" i="2"/>
  <c r="E287" i="2"/>
  <c r="J286" i="2"/>
  <c r="I286" i="2"/>
  <c r="I289" i="2" s="1"/>
  <c r="I41" i="2" s="1"/>
  <c r="G286" i="2"/>
  <c r="G289" i="2" s="1"/>
  <c r="G41" i="2" s="1"/>
  <c r="F286" i="2"/>
  <c r="E286" i="2"/>
  <c r="E289" i="2" s="1"/>
  <c r="E41" i="2" s="1"/>
  <c r="J282" i="2"/>
  <c r="H282" i="2"/>
  <c r="H283" i="2" s="1"/>
  <c r="H40" i="2" s="1"/>
  <c r="G282" i="2"/>
  <c r="F282" i="2"/>
  <c r="E282" i="2"/>
  <c r="H281" i="2"/>
  <c r="G281" i="2"/>
  <c r="G283" i="2" s="1"/>
  <c r="G40" i="2" s="1"/>
  <c r="F281" i="2"/>
  <c r="E281" i="2"/>
  <c r="I280" i="2"/>
  <c r="G280" i="2"/>
  <c r="F280" i="2"/>
  <c r="E280" i="2"/>
  <c r="E283" i="2" s="1"/>
  <c r="E40" i="2" s="1"/>
  <c r="J278" i="2"/>
  <c r="J39" i="2" s="1"/>
  <c r="I277" i="2"/>
  <c r="G277" i="2"/>
  <c r="F277" i="2"/>
  <c r="E277" i="2"/>
  <c r="H276" i="2"/>
  <c r="G276" i="2"/>
  <c r="F276" i="2"/>
  <c r="E276" i="2"/>
  <c r="J275" i="2"/>
  <c r="G275" i="2"/>
  <c r="G278" i="2" s="1"/>
  <c r="G39" i="2" s="1"/>
  <c r="F275" i="2"/>
  <c r="E275" i="2"/>
  <c r="E278" i="2" s="1"/>
  <c r="E39" i="2" s="1"/>
  <c r="G273" i="2"/>
  <c r="G38" i="2" s="1"/>
  <c r="G43" i="2" s="1"/>
  <c r="G50" i="2" s="1"/>
  <c r="J272" i="2"/>
  <c r="I272" i="2"/>
  <c r="H272" i="2"/>
  <c r="G272" i="2"/>
  <c r="F272" i="2"/>
  <c r="E272" i="2"/>
  <c r="G271" i="2"/>
  <c r="F271" i="2"/>
  <c r="E271" i="2"/>
  <c r="J270" i="2"/>
  <c r="J273" i="2" s="1"/>
  <c r="J38" i="2" s="1"/>
  <c r="G270" i="2"/>
  <c r="F270" i="2"/>
  <c r="F273" i="2" s="1"/>
  <c r="F38" i="2" s="1"/>
  <c r="E270" i="2"/>
  <c r="E273" i="2" s="1"/>
  <c r="I259" i="2"/>
  <c r="H259" i="2"/>
  <c r="G259" i="2"/>
  <c r="E242" i="2"/>
  <c r="D242" i="2"/>
  <c r="A242" i="2"/>
  <c r="E241" i="2"/>
  <c r="E243" i="2" s="1"/>
  <c r="D241" i="2"/>
  <c r="A241" i="2"/>
  <c r="E230" i="2"/>
  <c r="E33" i="2" s="1"/>
  <c r="J229" i="2"/>
  <c r="I229" i="2"/>
  <c r="I294" i="2" s="1"/>
  <c r="H229" i="2"/>
  <c r="G229" i="2"/>
  <c r="G294" i="2" s="1"/>
  <c r="F229" i="2"/>
  <c r="E229" i="2"/>
  <c r="E294" i="2" s="1"/>
  <c r="G223" i="2"/>
  <c r="G230" i="2" s="1"/>
  <c r="G33" i="2" s="1"/>
  <c r="F223" i="2"/>
  <c r="F230" i="2" s="1"/>
  <c r="F33" i="2" s="1"/>
  <c r="E223" i="2"/>
  <c r="J288" i="2"/>
  <c r="I282" i="2"/>
  <c r="J277" i="2"/>
  <c r="I223" i="2"/>
  <c r="I230" i="2" s="1"/>
  <c r="I33" i="2" s="1"/>
  <c r="J214" i="2"/>
  <c r="I214" i="2"/>
  <c r="H214" i="2"/>
  <c r="H27" i="2" s="1"/>
  <c r="G214" i="2"/>
  <c r="F214" i="2"/>
  <c r="F27" i="2" s="1"/>
  <c r="E214" i="2"/>
  <c r="I188" i="2"/>
  <c r="H188" i="2"/>
  <c r="G188" i="2"/>
  <c r="E173" i="2"/>
  <c r="D173" i="2"/>
  <c r="A173" i="2"/>
  <c r="E172" i="2"/>
  <c r="D172" i="2"/>
  <c r="A172" i="2"/>
  <c r="J171" i="2"/>
  <c r="I171" i="2"/>
  <c r="F171" i="2"/>
  <c r="E171" i="2"/>
  <c r="D171" i="2"/>
  <c r="A171" i="2"/>
  <c r="J170" i="2"/>
  <c r="I170" i="2"/>
  <c r="F170" i="2"/>
  <c r="E170" i="2"/>
  <c r="D170" i="2"/>
  <c r="A170" i="2"/>
  <c r="J169" i="2"/>
  <c r="I169" i="2"/>
  <c r="F169" i="2"/>
  <c r="E169" i="2"/>
  <c r="D169" i="2"/>
  <c r="A169" i="2"/>
  <c r="J168" i="2"/>
  <c r="I168" i="2"/>
  <c r="F168" i="2"/>
  <c r="E168" i="2"/>
  <c r="J174" i="2" s="1"/>
  <c r="D168" i="2"/>
  <c r="A168" i="2"/>
  <c r="F157" i="2"/>
  <c r="H156" i="2"/>
  <c r="H293" i="2" s="1"/>
  <c r="G156" i="2"/>
  <c r="G157" i="2" s="1"/>
  <c r="G32" i="2" s="1"/>
  <c r="F156" i="2"/>
  <c r="E156" i="2"/>
  <c r="J154" i="2"/>
  <c r="J156" i="2" s="1"/>
  <c r="J293" i="2" s="1"/>
  <c r="I154" i="2"/>
  <c r="H154" i="2"/>
  <c r="J148" i="2"/>
  <c r="I148" i="2"/>
  <c r="H148" i="2"/>
  <c r="J147" i="2"/>
  <c r="I147" i="2"/>
  <c r="I156" i="2" s="1"/>
  <c r="I293" i="2" s="1"/>
  <c r="J141" i="2"/>
  <c r="J157" i="2" s="1"/>
  <c r="J32" i="2" s="1"/>
  <c r="G141" i="2"/>
  <c r="F141" i="2"/>
  <c r="E141" i="2"/>
  <c r="E157" i="2" s="1"/>
  <c r="J287" i="2"/>
  <c r="J281" i="2"/>
  <c r="I281" i="2"/>
  <c r="J276" i="2"/>
  <c r="I276" i="2"/>
  <c r="J271" i="2"/>
  <c r="I141" i="2"/>
  <c r="H271" i="2"/>
  <c r="J132" i="2"/>
  <c r="I132" i="2"/>
  <c r="I26" i="2" s="1"/>
  <c r="H132" i="2"/>
  <c r="G132" i="2"/>
  <c r="G26" i="2" s="1"/>
  <c r="F132" i="2"/>
  <c r="E132" i="2"/>
  <c r="E26" i="2" s="1"/>
  <c r="J188" i="2"/>
  <c r="F188" i="2"/>
  <c r="E90" i="2"/>
  <c r="D90" i="2"/>
  <c r="A90" i="2"/>
  <c r="E89" i="2"/>
  <c r="D89" i="2"/>
  <c r="A89" i="2"/>
  <c r="E88" i="2"/>
  <c r="D88" i="2"/>
  <c r="A88" i="2"/>
  <c r="I340" i="2" s="1"/>
  <c r="E87" i="2"/>
  <c r="D87" i="2"/>
  <c r="A87" i="2"/>
  <c r="E77" i="2"/>
  <c r="J76" i="2"/>
  <c r="J292" i="2" s="1"/>
  <c r="J295" i="2" s="1"/>
  <c r="J42" i="2" s="1"/>
  <c r="I76" i="2"/>
  <c r="H76" i="2"/>
  <c r="H292" i="2" s="1"/>
  <c r="H295" i="2" s="1"/>
  <c r="H42" i="2" s="1"/>
  <c r="K412" i="1" s="1"/>
  <c r="G76" i="2"/>
  <c r="G292" i="2" s="1"/>
  <c r="G295" i="2" s="1"/>
  <c r="G42" i="2" s="1"/>
  <c r="F76" i="2"/>
  <c r="E76" i="2"/>
  <c r="G70" i="2"/>
  <c r="G77" i="2" s="1"/>
  <c r="G31" i="2" s="1"/>
  <c r="F70" i="2"/>
  <c r="F77" i="2" s="1"/>
  <c r="F31" i="2" s="1"/>
  <c r="E70" i="2"/>
  <c r="H70" i="2"/>
  <c r="H280" i="2"/>
  <c r="I275" i="2"/>
  <c r="I278" i="2" s="1"/>
  <c r="I39" i="2" s="1"/>
  <c r="H275" i="2"/>
  <c r="I70" i="2"/>
  <c r="I77" i="2" s="1"/>
  <c r="I31" i="2" s="1"/>
  <c r="J61" i="2"/>
  <c r="J25" i="2" s="1"/>
  <c r="I61" i="2"/>
  <c r="I25" i="2" s="1"/>
  <c r="I28" i="2" s="1"/>
  <c r="H61" i="2"/>
  <c r="H25" i="2" s="1"/>
  <c r="G61" i="2"/>
  <c r="F61" i="2"/>
  <c r="E61" i="2"/>
  <c r="E25" i="2" s="1"/>
  <c r="E28" i="2" s="1"/>
  <c r="J48" i="2"/>
  <c r="I48" i="2"/>
  <c r="H48" i="2"/>
  <c r="G48" i="2"/>
  <c r="F48" i="2"/>
  <c r="E48" i="2"/>
  <c r="E38" i="2"/>
  <c r="E32" i="2"/>
  <c r="E31" i="2"/>
  <c r="J27" i="2"/>
  <c r="I27" i="2"/>
  <c r="G27" i="2"/>
  <c r="E27" i="2"/>
  <c r="J26" i="2"/>
  <c r="J28" i="2" s="1"/>
  <c r="H26" i="2"/>
  <c r="F26" i="2"/>
  <c r="G25" i="2"/>
  <c r="G28" i="2" s="1"/>
  <c r="I63" i="1" s="1"/>
  <c r="F25" i="2"/>
  <c r="F28" i="2" s="1"/>
  <c r="L561" i="1"/>
  <c r="K561" i="1"/>
  <c r="I561" i="1"/>
  <c r="H561" i="1"/>
  <c r="G561" i="1"/>
  <c r="B561" i="1"/>
  <c r="L560" i="1"/>
  <c r="K560" i="1"/>
  <c r="J560" i="1"/>
  <c r="I560" i="1"/>
  <c r="H560" i="1"/>
  <c r="G560" i="1"/>
  <c r="E560" i="1"/>
  <c r="D560" i="1"/>
  <c r="B560" i="1"/>
  <c r="L559" i="1"/>
  <c r="K559" i="1"/>
  <c r="J559" i="1"/>
  <c r="I559" i="1"/>
  <c r="H559" i="1"/>
  <c r="G559" i="1"/>
  <c r="E559" i="1"/>
  <c r="D559" i="1"/>
  <c r="B559" i="1"/>
  <c r="B556" i="1"/>
  <c r="L555" i="1"/>
  <c r="K555" i="1"/>
  <c r="J555" i="1"/>
  <c r="I555" i="1"/>
  <c r="I556" i="1" s="1"/>
  <c r="H555" i="1"/>
  <c r="G555" i="1"/>
  <c r="E555" i="1"/>
  <c r="D555" i="1"/>
  <c r="B555" i="1"/>
  <c r="L554" i="1"/>
  <c r="K554" i="1"/>
  <c r="J554" i="1"/>
  <c r="I554" i="1"/>
  <c r="H554" i="1"/>
  <c r="G554" i="1"/>
  <c r="E554" i="1"/>
  <c r="D554" i="1"/>
  <c r="B554" i="1"/>
  <c r="L553" i="1"/>
  <c r="L556" i="1" s="1"/>
  <c r="K553" i="1"/>
  <c r="K556" i="1" s="1"/>
  <c r="J553" i="1"/>
  <c r="I553" i="1"/>
  <c r="H553" i="1"/>
  <c r="G553" i="1"/>
  <c r="G556" i="1" s="1"/>
  <c r="E553" i="1"/>
  <c r="D553" i="1"/>
  <c r="B553" i="1"/>
  <c r="L550" i="1"/>
  <c r="B550" i="1"/>
  <c r="L549" i="1"/>
  <c r="K549" i="1"/>
  <c r="J549" i="1"/>
  <c r="I549" i="1"/>
  <c r="H549" i="1"/>
  <c r="G549" i="1"/>
  <c r="E549" i="1"/>
  <c r="D549" i="1"/>
  <c r="B549" i="1"/>
  <c r="L548" i="1"/>
  <c r="K548" i="1"/>
  <c r="J548" i="1"/>
  <c r="I548" i="1"/>
  <c r="H548" i="1"/>
  <c r="G548" i="1"/>
  <c r="E548" i="1"/>
  <c r="D548" i="1"/>
  <c r="B548" i="1"/>
  <c r="L547" i="1"/>
  <c r="K547" i="1"/>
  <c r="J547" i="1"/>
  <c r="I547" i="1"/>
  <c r="H547" i="1"/>
  <c r="G547" i="1"/>
  <c r="E547" i="1"/>
  <c r="D547" i="1"/>
  <c r="B547" i="1"/>
  <c r="L546" i="1"/>
  <c r="K546" i="1"/>
  <c r="J546" i="1"/>
  <c r="I546" i="1"/>
  <c r="H546" i="1"/>
  <c r="G546" i="1"/>
  <c r="E546" i="1"/>
  <c r="D546" i="1"/>
  <c r="B546" i="1"/>
  <c r="L545" i="1"/>
  <c r="K545" i="1"/>
  <c r="J545" i="1"/>
  <c r="I545" i="1"/>
  <c r="H545" i="1"/>
  <c r="G545" i="1"/>
  <c r="E545" i="1"/>
  <c r="D545" i="1"/>
  <c r="B545" i="1"/>
  <c r="L544" i="1"/>
  <c r="K544" i="1"/>
  <c r="J544" i="1"/>
  <c r="I544" i="1"/>
  <c r="H544" i="1"/>
  <c r="G544" i="1"/>
  <c r="E544" i="1"/>
  <c r="D544" i="1"/>
  <c r="B544" i="1"/>
  <c r="L543" i="1"/>
  <c r="K543" i="1"/>
  <c r="J543" i="1"/>
  <c r="I543" i="1"/>
  <c r="H543" i="1"/>
  <c r="G543" i="1"/>
  <c r="E543" i="1"/>
  <c r="D543" i="1"/>
  <c r="B543" i="1"/>
  <c r="L542" i="1"/>
  <c r="K542" i="1"/>
  <c r="J542" i="1"/>
  <c r="I542" i="1"/>
  <c r="H542" i="1"/>
  <c r="G542" i="1"/>
  <c r="E542" i="1"/>
  <c r="D542" i="1"/>
  <c r="B542" i="1"/>
  <c r="L541" i="1"/>
  <c r="K541" i="1"/>
  <c r="J541" i="1"/>
  <c r="I541" i="1"/>
  <c r="H541" i="1"/>
  <c r="G541" i="1"/>
  <c r="E541" i="1"/>
  <c r="D541" i="1"/>
  <c r="B541" i="1"/>
  <c r="L540" i="1"/>
  <c r="K540" i="1"/>
  <c r="J540" i="1"/>
  <c r="I540" i="1"/>
  <c r="H540" i="1"/>
  <c r="G540" i="1"/>
  <c r="G550" i="1" s="1"/>
  <c r="E540" i="1"/>
  <c r="D540" i="1"/>
  <c r="B540" i="1"/>
  <c r="L539" i="1"/>
  <c r="K539" i="1"/>
  <c r="J539" i="1"/>
  <c r="I539" i="1"/>
  <c r="H539" i="1"/>
  <c r="G539" i="1"/>
  <c r="E539" i="1"/>
  <c r="D539" i="1"/>
  <c r="B539" i="1"/>
  <c r="L538" i="1"/>
  <c r="K538" i="1"/>
  <c r="K550" i="1" s="1"/>
  <c r="J538" i="1"/>
  <c r="I538" i="1"/>
  <c r="I550" i="1" s="1"/>
  <c r="H538" i="1"/>
  <c r="H550" i="1" s="1"/>
  <c r="G538" i="1"/>
  <c r="E538" i="1"/>
  <c r="D538" i="1"/>
  <c r="B538" i="1"/>
  <c r="B535" i="1"/>
  <c r="L534" i="1"/>
  <c r="K534" i="1"/>
  <c r="J534" i="1"/>
  <c r="I534" i="1"/>
  <c r="H534" i="1"/>
  <c r="G534" i="1"/>
  <c r="E534" i="1"/>
  <c r="D534" i="1"/>
  <c r="B534" i="1"/>
  <c r="L533" i="1"/>
  <c r="K533" i="1"/>
  <c r="J533" i="1"/>
  <c r="I533" i="1"/>
  <c r="H533" i="1"/>
  <c r="G533" i="1"/>
  <c r="E533" i="1"/>
  <c r="D533" i="1"/>
  <c r="B533" i="1"/>
  <c r="L532" i="1"/>
  <c r="K532" i="1"/>
  <c r="J532" i="1"/>
  <c r="I532" i="1"/>
  <c r="H532" i="1"/>
  <c r="G532" i="1"/>
  <c r="E532" i="1"/>
  <c r="D532" i="1"/>
  <c r="B532" i="1"/>
  <c r="L531" i="1"/>
  <c r="K531" i="1"/>
  <c r="J531" i="1"/>
  <c r="I531" i="1"/>
  <c r="H531" i="1"/>
  <c r="G531" i="1"/>
  <c r="E531" i="1"/>
  <c r="D531" i="1"/>
  <c r="B531" i="1"/>
  <c r="L530" i="1"/>
  <c r="K530" i="1"/>
  <c r="J530" i="1"/>
  <c r="I530" i="1"/>
  <c r="H530" i="1"/>
  <c r="G530" i="1"/>
  <c r="E530" i="1"/>
  <c r="D530" i="1"/>
  <c r="B530" i="1"/>
  <c r="L529" i="1"/>
  <c r="K529" i="1"/>
  <c r="J529" i="1"/>
  <c r="J535" i="1" s="1"/>
  <c r="I529" i="1"/>
  <c r="H529" i="1"/>
  <c r="G529" i="1"/>
  <c r="E529" i="1"/>
  <c r="D529" i="1"/>
  <c r="B529" i="1"/>
  <c r="L528" i="1"/>
  <c r="K528" i="1"/>
  <c r="K535" i="1" s="1"/>
  <c r="J528" i="1"/>
  <c r="I528" i="1"/>
  <c r="I535" i="1" s="1"/>
  <c r="H528" i="1"/>
  <c r="G528" i="1"/>
  <c r="E528" i="1"/>
  <c r="D528" i="1"/>
  <c r="B528" i="1"/>
  <c r="L527" i="1"/>
  <c r="L535" i="1" s="1"/>
  <c r="K527" i="1"/>
  <c r="J527" i="1"/>
  <c r="I527" i="1"/>
  <c r="H527" i="1"/>
  <c r="H535" i="1" s="1"/>
  <c r="G527" i="1"/>
  <c r="G535" i="1" s="1"/>
  <c r="E527" i="1"/>
  <c r="D527" i="1"/>
  <c r="B527" i="1"/>
  <c r="B524" i="1"/>
  <c r="L523" i="1"/>
  <c r="K523" i="1"/>
  <c r="J523" i="1"/>
  <c r="I523" i="1"/>
  <c r="H523" i="1"/>
  <c r="G523" i="1"/>
  <c r="E523" i="1"/>
  <c r="D523" i="1"/>
  <c r="B523" i="1"/>
  <c r="L522" i="1"/>
  <c r="K522" i="1"/>
  <c r="J522" i="1"/>
  <c r="I522" i="1"/>
  <c r="H522" i="1"/>
  <c r="G522" i="1"/>
  <c r="E522" i="1"/>
  <c r="D522" i="1"/>
  <c r="B522" i="1"/>
  <c r="L521" i="1"/>
  <c r="K521" i="1"/>
  <c r="J521" i="1"/>
  <c r="I521" i="1"/>
  <c r="H521" i="1"/>
  <c r="G521" i="1"/>
  <c r="E521" i="1"/>
  <c r="D521" i="1"/>
  <c r="B521" i="1"/>
  <c r="L520" i="1"/>
  <c r="K520" i="1"/>
  <c r="J520" i="1"/>
  <c r="I520" i="1"/>
  <c r="H520" i="1"/>
  <c r="G520" i="1"/>
  <c r="E520" i="1"/>
  <c r="D520" i="1"/>
  <c r="B520" i="1"/>
  <c r="L519" i="1"/>
  <c r="K519" i="1"/>
  <c r="J519" i="1"/>
  <c r="I519" i="1"/>
  <c r="H519" i="1"/>
  <c r="G519" i="1"/>
  <c r="E519" i="1"/>
  <c r="D519" i="1"/>
  <c r="B519" i="1"/>
  <c r="L518" i="1"/>
  <c r="K518" i="1"/>
  <c r="J518" i="1"/>
  <c r="I518" i="1"/>
  <c r="H518" i="1"/>
  <c r="G518" i="1"/>
  <c r="E518" i="1"/>
  <c r="D518" i="1"/>
  <c r="B518" i="1"/>
  <c r="L517" i="1"/>
  <c r="K517" i="1"/>
  <c r="J517" i="1"/>
  <c r="I517" i="1"/>
  <c r="H517" i="1"/>
  <c r="G517" i="1"/>
  <c r="E517" i="1"/>
  <c r="D517" i="1"/>
  <c r="B517" i="1"/>
  <c r="L516" i="1"/>
  <c r="K516" i="1"/>
  <c r="J516" i="1"/>
  <c r="I516" i="1"/>
  <c r="H516" i="1"/>
  <c r="G516" i="1"/>
  <c r="E516" i="1"/>
  <c r="D516" i="1"/>
  <c r="B516" i="1"/>
  <c r="L515" i="1"/>
  <c r="K515" i="1"/>
  <c r="J515" i="1"/>
  <c r="I515" i="1"/>
  <c r="H515" i="1"/>
  <c r="G515" i="1"/>
  <c r="E515" i="1"/>
  <c r="D515" i="1"/>
  <c r="B515" i="1"/>
  <c r="L514" i="1"/>
  <c r="K514" i="1"/>
  <c r="J514" i="1"/>
  <c r="I514" i="1"/>
  <c r="H514" i="1"/>
  <c r="G514" i="1"/>
  <c r="E514" i="1"/>
  <c r="D514" i="1"/>
  <c r="B514" i="1"/>
  <c r="L513" i="1"/>
  <c r="K513" i="1"/>
  <c r="J513" i="1"/>
  <c r="I513" i="1"/>
  <c r="H513" i="1"/>
  <c r="G513" i="1"/>
  <c r="E513" i="1"/>
  <c r="D513" i="1"/>
  <c r="B513" i="1"/>
  <c r="L512" i="1"/>
  <c r="K512" i="1"/>
  <c r="J512" i="1"/>
  <c r="I512" i="1"/>
  <c r="H512" i="1"/>
  <c r="G512" i="1"/>
  <c r="E512" i="1"/>
  <c r="D512" i="1"/>
  <c r="B512" i="1"/>
  <c r="L511" i="1"/>
  <c r="K511" i="1"/>
  <c r="J511" i="1"/>
  <c r="I511" i="1"/>
  <c r="H511" i="1"/>
  <c r="G511" i="1"/>
  <c r="E511" i="1"/>
  <c r="D511" i="1"/>
  <c r="B511" i="1"/>
  <c r="L510" i="1"/>
  <c r="K510" i="1"/>
  <c r="J510" i="1"/>
  <c r="I510" i="1"/>
  <c r="H510" i="1"/>
  <c r="G510" i="1"/>
  <c r="E510" i="1"/>
  <c r="D510" i="1"/>
  <c r="B510" i="1"/>
  <c r="L509" i="1"/>
  <c r="K509" i="1"/>
  <c r="J509" i="1"/>
  <c r="I509" i="1"/>
  <c r="H509" i="1"/>
  <c r="G509" i="1"/>
  <c r="E509" i="1"/>
  <c r="D509" i="1"/>
  <c r="B509" i="1"/>
  <c r="L508" i="1"/>
  <c r="K508" i="1"/>
  <c r="J508" i="1"/>
  <c r="I508" i="1"/>
  <c r="H508" i="1"/>
  <c r="G508" i="1"/>
  <c r="E508" i="1"/>
  <c r="D508" i="1"/>
  <c r="B508" i="1"/>
  <c r="L507" i="1"/>
  <c r="K507" i="1"/>
  <c r="J507" i="1"/>
  <c r="I507" i="1"/>
  <c r="H507" i="1"/>
  <c r="G507" i="1"/>
  <c r="E507" i="1"/>
  <c r="D507" i="1"/>
  <c r="B507" i="1"/>
  <c r="L506" i="1"/>
  <c r="K506" i="1"/>
  <c r="J506" i="1"/>
  <c r="I506" i="1"/>
  <c r="H506" i="1"/>
  <c r="H524" i="1" s="1"/>
  <c r="G506" i="1"/>
  <c r="E506" i="1"/>
  <c r="D506" i="1"/>
  <c r="B506" i="1"/>
  <c r="L505" i="1"/>
  <c r="K505" i="1"/>
  <c r="K524" i="1" s="1"/>
  <c r="J505" i="1"/>
  <c r="I505" i="1"/>
  <c r="H505" i="1"/>
  <c r="G505" i="1"/>
  <c r="G524" i="1" s="1"/>
  <c r="E505" i="1"/>
  <c r="D505" i="1"/>
  <c r="B505" i="1"/>
  <c r="L504" i="1"/>
  <c r="K504" i="1"/>
  <c r="J504" i="1"/>
  <c r="J524" i="1" s="1"/>
  <c r="I504" i="1"/>
  <c r="I524" i="1" s="1"/>
  <c r="H504" i="1"/>
  <c r="G504" i="1"/>
  <c r="E504" i="1"/>
  <c r="D504" i="1"/>
  <c r="B504" i="1"/>
  <c r="L501" i="1"/>
  <c r="J501" i="1"/>
  <c r="H501" i="1"/>
  <c r="G501" i="1"/>
  <c r="B501" i="1"/>
  <c r="L500" i="1"/>
  <c r="K500" i="1"/>
  <c r="J500" i="1"/>
  <c r="I500" i="1"/>
  <c r="H500" i="1"/>
  <c r="G500" i="1"/>
  <c r="E500" i="1"/>
  <c r="D500" i="1"/>
  <c r="B500" i="1"/>
  <c r="L499" i="1"/>
  <c r="K499" i="1"/>
  <c r="J499" i="1"/>
  <c r="I499" i="1"/>
  <c r="H499" i="1"/>
  <c r="G499" i="1"/>
  <c r="E499" i="1"/>
  <c r="D499" i="1"/>
  <c r="B499" i="1"/>
  <c r="L498" i="1"/>
  <c r="K498" i="1"/>
  <c r="J498" i="1"/>
  <c r="I498" i="1"/>
  <c r="H498" i="1"/>
  <c r="G498" i="1"/>
  <c r="E498" i="1"/>
  <c r="D498" i="1"/>
  <c r="B498" i="1"/>
  <c r="L497" i="1"/>
  <c r="K497" i="1"/>
  <c r="J497" i="1"/>
  <c r="I497" i="1"/>
  <c r="H497" i="1"/>
  <c r="G497" i="1"/>
  <c r="E497" i="1"/>
  <c r="D497" i="1"/>
  <c r="B497" i="1"/>
  <c r="I494" i="1"/>
  <c r="B494" i="1"/>
  <c r="L493" i="1"/>
  <c r="K493" i="1"/>
  <c r="J493" i="1"/>
  <c r="I493" i="1"/>
  <c r="H493" i="1"/>
  <c r="G493" i="1"/>
  <c r="E493" i="1"/>
  <c r="D493" i="1"/>
  <c r="B493" i="1"/>
  <c r="L492" i="1"/>
  <c r="K492" i="1"/>
  <c r="J492" i="1"/>
  <c r="I492" i="1"/>
  <c r="H492" i="1"/>
  <c r="G492" i="1"/>
  <c r="E492" i="1"/>
  <c r="D492" i="1"/>
  <c r="B492" i="1"/>
  <c r="L491" i="1"/>
  <c r="K491" i="1"/>
  <c r="J491" i="1"/>
  <c r="I491" i="1"/>
  <c r="H491" i="1"/>
  <c r="G491" i="1"/>
  <c r="E491" i="1"/>
  <c r="D491" i="1"/>
  <c r="B491" i="1"/>
  <c r="L490" i="1"/>
  <c r="K490" i="1"/>
  <c r="J490" i="1"/>
  <c r="I490" i="1"/>
  <c r="H490" i="1"/>
  <c r="G490" i="1"/>
  <c r="E490" i="1"/>
  <c r="D490" i="1"/>
  <c r="B490" i="1"/>
  <c r="L489" i="1"/>
  <c r="K489" i="1"/>
  <c r="J489" i="1"/>
  <c r="I489" i="1"/>
  <c r="H489" i="1"/>
  <c r="G489" i="1"/>
  <c r="E489" i="1"/>
  <c r="D489" i="1"/>
  <c r="B489" i="1"/>
  <c r="L488" i="1"/>
  <c r="K488" i="1"/>
  <c r="J488" i="1"/>
  <c r="I488" i="1"/>
  <c r="H488" i="1"/>
  <c r="G488" i="1"/>
  <c r="E488" i="1"/>
  <c r="D488" i="1"/>
  <c r="B488" i="1"/>
  <c r="L487" i="1"/>
  <c r="L494" i="1" s="1"/>
  <c r="K487" i="1"/>
  <c r="J487" i="1"/>
  <c r="I487" i="1"/>
  <c r="H487" i="1"/>
  <c r="H494" i="1" s="1"/>
  <c r="G487" i="1"/>
  <c r="E487" i="1"/>
  <c r="D487" i="1"/>
  <c r="B487" i="1"/>
  <c r="L486" i="1"/>
  <c r="K486" i="1"/>
  <c r="K494" i="1" s="1"/>
  <c r="J486" i="1"/>
  <c r="I486" i="1"/>
  <c r="H486" i="1"/>
  <c r="G486" i="1"/>
  <c r="G494" i="1" s="1"/>
  <c r="E486" i="1"/>
  <c r="D486" i="1"/>
  <c r="B486" i="1"/>
  <c r="B483" i="1"/>
  <c r="L482" i="1"/>
  <c r="K482" i="1"/>
  <c r="J482" i="1"/>
  <c r="I482" i="1"/>
  <c r="H482" i="1"/>
  <c r="G482" i="1"/>
  <c r="E482" i="1"/>
  <c r="D482" i="1"/>
  <c r="B482" i="1"/>
  <c r="L481" i="1"/>
  <c r="K481" i="1"/>
  <c r="J481" i="1"/>
  <c r="I481" i="1"/>
  <c r="H481" i="1"/>
  <c r="G481" i="1"/>
  <c r="G483" i="1" s="1"/>
  <c r="G563" i="1" s="1"/>
  <c r="E481" i="1"/>
  <c r="D481" i="1"/>
  <c r="B481" i="1"/>
  <c r="L480" i="1"/>
  <c r="L483" i="1" s="1"/>
  <c r="K480" i="1"/>
  <c r="K483" i="1" s="1"/>
  <c r="J480" i="1"/>
  <c r="J483" i="1" s="1"/>
  <c r="I480" i="1"/>
  <c r="H480" i="1"/>
  <c r="H483" i="1" s="1"/>
  <c r="G480" i="1"/>
  <c r="E480" i="1"/>
  <c r="D480" i="1"/>
  <c r="B480" i="1"/>
  <c r="I471" i="1"/>
  <c r="I461" i="1"/>
  <c r="K457" i="1"/>
  <c r="I457" i="1"/>
  <c r="G455" i="1"/>
  <c r="G454" i="1"/>
  <c r="K453" i="1"/>
  <c r="K452" i="1"/>
  <c r="I451" i="1"/>
  <c r="K450" i="1"/>
  <c r="G450" i="1"/>
  <c r="I449" i="1"/>
  <c r="G448" i="1"/>
  <c r="G447" i="1"/>
  <c r="K446" i="1"/>
  <c r="K445" i="1"/>
  <c r="I444" i="1"/>
  <c r="K443" i="1"/>
  <c r="I443" i="1"/>
  <c r="K442" i="1"/>
  <c r="K441" i="1"/>
  <c r="G441" i="1"/>
  <c r="K440" i="1"/>
  <c r="G440" i="1"/>
  <c r="G439" i="1"/>
  <c r="I438" i="1"/>
  <c r="G438" i="1"/>
  <c r="I437" i="1"/>
  <c r="I436" i="1"/>
  <c r="K435" i="1"/>
  <c r="I435" i="1"/>
  <c r="K434" i="1"/>
  <c r="K433" i="1"/>
  <c r="G433" i="1"/>
  <c r="K432" i="1"/>
  <c r="G432" i="1"/>
  <c r="G431" i="1"/>
  <c r="I430" i="1"/>
  <c r="G430" i="1"/>
  <c r="K425" i="1"/>
  <c r="H425" i="1"/>
  <c r="K424" i="1"/>
  <c r="J424" i="1"/>
  <c r="K422" i="1"/>
  <c r="J422" i="1"/>
  <c r="K421" i="1"/>
  <c r="I421" i="1"/>
  <c r="H421" i="1"/>
  <c r="G421" i="1"/>
  <c r="J420" i="1"/>
  <c r="K419" i="1"/>
  <c r="J419" i="1"/>
  <c r="I419" i="1"/>
  <c r="H419" i="1"/>
  <c r="K417" i="1"/>
  <c r="J417" i="1"/>
  <c r="I417" i="1"/>
  <c r="H417" i="1"/>
  <c r="I416" i="1"/>
  <c r="K415" i="1"/>
  <c r="I415" i="1"/>
  <c r="K414" i="1"/>
  <c r="J414" i="1"/>
  <c r="I414" i="1"/>
  <c r="H414" i="1"/>
  <c r="K413" i="1"/>
  <c r="J413" i="1"/>
  <c r="I413" i="1"/>
  <c r="H413" i="1"/>
  <c r="G413" i="1"/>
  <c r="L413" i="1" s="1"/>
  <c r="I412" i="1"/>
  <c r="J407" i="1"/>
  <c r="F96" i="23" s="1"/>
  <c r="I407" i="1"/>
  <c r="D96" i="23" s="1"/>
  <c r="G407" i="1"/>
  <c r="I406" i="1"/>
  <c r="D95" i="23" s="1"/>
  <c r="D14" i="23" s="1"/>
  <c r="G406" i="1"/>
  <c r="K405" i="1"/>
  <c r="H94" i="23" s="1"/>
  <c r="I405" i="1"/>
  <c r="D94" i="23" s="1"/>
  <c r="H405" i="1"/>
  <c r="I404" i="1"/>
  <c r="D93" i="23" s="1"/>
  <c r="G404" i="1"/>
  <c r="L403" i="1"/>
  <c r="J92" i="23" s="1"/>
  <c r="J403" i="1"/>
  <c r="F92" i="23" s="1"/>
  <c r="I403" i="1"/>
  <c r="D92" i="23" s="1"/>
  <c r="H403" i="1"/>
  <c r="G403" i="1"/>
  <c r="J402" i="1"/>
  <c r="F91" i="23" s="1"/>
  <c r="G402" i="1"/>
  <c r="K401" i="1"/>
  <c r="H90" i="23" s="1"/>
  <c r="H401" i="1"/>
  <c r="G401" i="1"/>
  <c r="I400" i="1"/>
  <c r="D89" i="23" s="1"/>
  <c r="H400" i="1"/>
  <c r="G400" i="1"/>
  <c r="L399" i="1"/>
  <c r="J88" i="23" s="1"/>
  <c r="I399" i="1"/>
  <c r="D88" i="23" s="1"/>
  <c r="H399" i="1"/>
  <c r="I398" i="1"/>
  <c r="D87" i="23" s="1"/>
  <c r="H398" i="1"/>
  <c r="G398" i="1"/>
  <c r="I397" i="1"/>
  <c r="D86" i="23" s="1"/>
  <c r="H397" i="1"/>
  <c r="G397" i="1"/>
  <c r="K396" i="1"/>
  <c r="H85" i="23" s="1"/>
  <c r="J396" i="1"/>
  <c r="F85" i="23" s="1"/>
  <c r="I396" i="1"/>
  <c r="D85" i="23" s="1"/>
  <c r="H396" i="1"/>
  <c r="I394" i="1"/>
  <c r="D84" i="23" s="1"/>
  <c r="L393" i="1"/>
  <c r="J83" i="23" s="1"/>
  <c r="K393" i="1"/>
  <c r="H83" i="23" s="1"/>
  <c r="I393" i="1"/>
  <c r="D83" i="23" s="1"/>
  <c r="H393" i="1"/>
  <c r="G393" i="1"/>
  <c r="J392" i="1"/>
  <c r="F82" i="23" s="1"/>
  <c r="I392" i="1"/>
  <c r="D82" i="23" s="1"/>
  <c r="G392" i="1"/>
  <c r="H391" i="1"/>
  <c r="I390" i="1"/>
  <c r="D80" i="23" s="1"/>
  <c r="G390" i="1"/>
  <c r="L389" i="1"/>
  <c r="J79" i="23" s="1"/>
  <c r="J10" i="23" s="1"/>
  <c r="J389" i="1"/>
  <c r="F79" i="23" s="1"/>
  <c r="F10" i="23" s="1"/>
  <c r="I389" i="1"/>
  <c r="D79" i="23" s="1"/>
  <c r="D10" i="23" s="1"/>
  <c r="H389" i="1"/>
  <c r="G389" i="1"/>
  <c r="L388" i="1"/>
  <c r="J78" i="23" s="1"/>
  <c r="J9" i="23" s="1"/>
  <c r="I388" i="1"/>
  <c r="D78" i="23" s="1"/>
  <c r="D9" i="23" s="1"/>
  <c r="H388" i="1"/>
  <c r="K387" i="1"/>
  <c r="H77" i="23" s="1"/>
  <c r="I387" i="1"/>
  <c r="D77" i="23" s="1"/>
  <c r="H387" i="1"/>
  <c r="G387" i="1"/>
  <c r="L386" i="1"/>
  <c r="J76" i="23" s="1"/>
  <c r="J386" i="1"/>
  <c r="F76" i="23" s="1"/>
  <c r="I386" i="1"/>
  <c r="D76" i="23" s="1"/>
  <c r="G386" i="1"/>
  <c r="I385" i="1"/>
  <c r="D75" i="23" s="1"/>
  <c r="G385" i="1"/>
  <c r="L384" i="1"/>
  <c r="J74" i="23" s="1"/>
  <c r="I384" i="1"/>
  <c r="D74" i="23" s="1"/>
  <c r="H384" i="1"/>
  <c r="G384" i="1"/>
  <c r="I383" i="1"/>
  <c r="D73" i="23" s="1"/>
  <c r="H383" i="1"/>
  <c r="G383" i="1"/>
  <c r="J382" i="1"/>
  <c r="F72" i="23" s="1"/>
  <c r="H382" i="1"/>
  <c r="G382" i="1"/>
  <c r="K381" i="1"/>
  <c r="H71" i="23" s="1"/>
  <c r="I381" i="1"/>
  <c r="D71" i="23" s="1"/>
  <c r="H381" i="1"/>
  <c r="G381" i="1"/>
  <c r="K380" i="1"/>
  <c r="H70" i="23" s="1"/>
  <c r="I380" i="1"/>
  <c r="D70" i="23" s="1"/>
  <c r="H380" i="1"/>
  <c r="I379" i="1"/>
  <c r="D69" i="23" s="1"/>
  <c r="G379" i="1"/>
  <c r="I378" i="1"/>
  <c r="D68" i="23" s="1"/>
  <c r="H378" i="1"/>
  <c r="G378" i="1"/>
  <c r="I377" i="1"/>
  <c r="D67" i="23" s="1"/>
  <c r="H377" i="1"/>
  <c r="G377" i="1"/>
  <c r="L376" i="1"/>
  <c r="J66" i="23" s="1"/>
  <c r="K376" i="1"/>
  <c r="H66" i="23" s="1"/>
  <c r="J376" i="1"/>
  <c r="F66" i="23" s="1"/>
  <c r="I376" i="1"/>
  <c r="D66" i="23" s="1"/>
  <c r="G376" i="1"/>
  <c r="K375" i="1"/>
  <c r="H65" i="23" s="1"/>
  <c r="J375" i="1"/>
  <c r="F65" i="23" s="1"/>
  <c r="I375" i="1"/>
  <c r="D65" i="23" s="1"/>
  <c r="H375" i="1"/>
  <c r="G375" i="1"/>
  <c r="L374" i="1"/>
  <c r="J64" i="23" s="1"/>
  <c r="K374" i="1"/>
  <c r="H64" i="23" s="1"/>
  <c r="I374" i="1"/>
  <c r="D64" i="23" s="1"/>
  <c r="H374" i="1"/>
  <c r="G374" i="1"/>
  <c r="L373" i="1"/>
  <c r="J63" i="23" s="1"/>
  <c r="K373" i="1"/>
  <c r="H63" i="23" s="1"/>
  <c r="I373" i="1"/>
  <c r="D63" i="23" s="1"/>
  <c r="H373" i="1"/>
  <c r="G373" i="1"/>
  <c r="H372" i="1"/>
  <c r="I371" i="1"/>
  <c r="D61" i="23" s="1"/>
  <c r="H371" i="1"/>
  <c r="I370" i="1"/>
  <c r="D60" i="23" s="1"/>
  <c r="H370" i="1"/>
  <c r="G370" i="1"/>
  <c r="J369" i="1"/>
  <c r="F59" i="23" s="1"/>
  <c r="F12" i="23" s="1"/>
  <c r="I369" i="1"/>
  <c r="D59" i="23" s="1"/>
  <c r="H369" i="1"/>
  <c r="K368" i="1"/>
  <c r="H58" i="23" s="1"/>
  <c r="I368" i="1"/>
  <c r="D58" i="23" s="1"/>
  <c r="H368" i="1"/>
  <c r="G368" i="1"/>
  <c r="J367" i="1"/>
  <c r="F57" i="23" s="1"/>
  <c r="I367" i="1"/>
  <c r="D57" i="23" s="1"/>
  <c r="G367" i="1"/>
  <c r="I366" i="1"/>
  <c r="D56" i="23" s="1"/>
  <c r="H366" i="1"/>
  <c r="J365" i="1"/>
  <c r="F55" i="23" s="1"/>
  <c r="I365" i="1"/>
  <c r="D55" i="23" s="1"/>
  <c r="H365" i="1"/>
  <c r="G365" i="1"/>
  <c r="J364" i="1"/>
  <c r="F54" i="23" s="1"/>
  <c r="I364" i="1"/>
  <c r="D54" i="23" s="1"/>
  <c r="D6" i="23" s="1"/>
  <c r="G364" i="1"/>
  <c r="I363" i="1"/>
  <c r="D53" i="23" s="1"/>
  <c r="H363" i="1"/>
  <c r="G363" i="1"/>
  <c r="I362" i="1"/>
  <c r="D52" i="23" s="1"/>
  <c r="G362" i="1"/>
  <c r="I361" i="1"/>
  <c r="D51" i="23" s="1"/>
  <c r="H361" i="1"/>
  <c r="G361" i="1"/>
  <c r="I360" i="1"/>
  <c r="D50" i="23" s="1"/>
  <c r="H360" i="1"/>
  <c r="J359" i="1"/>
  <c r="F49" i="23" s="1"/>
  <c r="I359" i="1"/>
  <c r="D49" i="23" s="1"/>
  <c r="H359" i="1"/>
  <c r="J358" i="1"/>
  <c r="F48" i="23" s="1"/>
  <c r="I358" i="1"/>
  <c r="D48" i="23" s="1"/>
  <c r="H358" i="1"/>
  <c r="I357" i="1"/>
  <c r="D47" i="23" s="1"/>
  <c r="H357" i="1"/>
  <c r="L356" i="1"/>
  <c r="J46" i="23" s="1"/>
  <c r="I356" i="1"/>
  <c r="D46" i="23" s="1"/>
  <c r="H356" i="1"/>
  <c r="J355" i="1"/>
  <c r="F45" i="23" s="1"/>
  <c r="H355" i="1"/>
  <c r="G355" i="1"/>
  <c r="K354" i="1"/>
  <c r="H44" i="23" s="1"/>
  <c r="I354" i="1"/>
  <c r="D44" i="23" s="1"/>
  <c r="H354" i="1"/>
  <c r="G354" i="1"/>
  <c r="I353" i="1"/>
  <c r="D43" i="23" s="1"/>
  <c r="H353" i="1"/>
  <c r="G353" i="1"/>
  <c r="K352" i="1"/>
  <c r="H42" i="23" s="1"/>
  <c r="I352" i="1"/>
  <c r="D42" i="23" s="1"/>
  <c r="H352" i="1"/>
  <c r="G352" i="1"/>
  <c r="L351" i="1"/>
  <c r="J41" i="23" s="1"/>
  <c r="I351" i="1"/>
  <c r="D41" i="23" s="1"/>
  <c r="G351" i="1"/>
  <c r="K350" i="1"/>
  <c r="H40" i="23" s="1"/>
  <c r="I350" i="1"/>
  <c r="D40" i="23" s="1"/>
  <c r="H350" i="1"/>
  <c r="G350" i="1"/>
  <c r="L346" i="1"/>
  <c r="K346" i="1"/>
  <c r="I346" i="1"/>
  <c r="H346" i="1"/>
  <c r="L345" i="1"/>
  <c r="K345" i="1"/>
  <c r="J345" i="1"/>
  <c r="I345" i="1"/>
  <c r="H345" i="1"/>
  <c r="G345" i="1"/>
  <c r="E345" i="1"/>
  <c r="D345" i="1"/>
  <c r="L344" i="1"/>
  <c r="K344" i="1"/>
  <c r="J344" i="1"/>
  <c r="I344" i="1"/>
  <c r="H344" i="1"/>
  <c r="G344" i="1"/>
  <c r="E344" i="1"/>
  <c r="D344" i="1"/>
  <c r="L343" i="1"/>
  <c r="K343" i="1"/>
  <c r="J343" i="1"/>
  <c r="I343" i="1"/>
  <c r="H343" i="1"/>
  <c r="G343" i="1"/>
  <c r="E343" i="1"/>
  <c r="D343" i="1"/>
  <c r="L342" i="1"/>
  <c r="K342" i="1"/>
  <c r="J342" i="1"/>
  <c r="I342" i="1"/>
  <c r="H342" i="1"/>
  <c r="G342" i="1"/>
  <c r="E342" i="1"/>
  <c r="D342" i="1"/>
  <c r="L341" i="1"/>
  <c r="K341" i="1"/>
  <c r="J341" i="1"/>
  <c r="I341" i="1"/>
  <c r="H341" i="1"/>
  <c r="G341" i="1"/>
  <c r="E341" i="1"/>
  <c r="D341" i="1"/>
  <c r="L340" i="1"/>
  <c r="K340" i="1"/>
  <c r="J340" i="1"/>
  <c r="I340" i="1"/>
  <c r="H340" i="1"/>
  <c r="G340" i="1"/>
  <c r="E340" i="1"/>
  <c r="D340" i="1"/>
  <c r="L339" i="1"/>
  <c r="K339" i="1"/>
  <c r="J339" i="1"/>
  <c r="I339" i="1"/>
  <c r="H339" i="1"/>
  <c r="G339" i="1"/>
  <c r="E339" i="1"/>
  <c r="D339" i="1"/>
  <c r="L338" i="1"/>
  <c r="K338" i="1"/>
  <c r="J338" i="1"/>
  <c r="I338" i="1"/>
  <c r="H338" i="1"/>
  <c r="G338" i="1"/>
  <c r="E338" i="1"/>
  <c r="D338" i="1"/>
  <c r="L337" i="1"/>
  <c r="K337" i="1"/>
  <c r="J337" i="1"/>
  <c r="I337" i="1"/>
  <c r="H337" i="1"/>
  <c r="G337" i="1"/>
  <c r="E337" i="1"/>
  <c r="D337" i="1"/>
  <c r="L336" i="1"/>
  <c r="K336" i="1"/>
  <c r="J336" i="1"/>
  <c r="I336" i="1"/>
  <c r="H336" i="1"/>
  <c r="G336" i="1"/>
  <c r="E336" i="1"/>
  <c r="D336" i="1"/>
  <c r="L335" i="1"/>
  <c r="K335" i="1"/>
  <c r="J335" i="1"/>
  <c r="I335" i="1"/>
  <c r="H335" i="1"/>
  <c r="G335" i="1"/>
  <c r="E335" i="1"/>
  <c r="D335" i="1"/>
  <c r="L334" i="1"/>
  <c r="K334" i="1"/>
  <c r="J334" i="1"/>
  <c r="I334" i="1"/>
  <c r="H334" i="1"/>
  <c r="G334" i="1"/>
  <c r="E334" i="1"/>
  <c r="D334" i="1"/>
  <c r="L333" i="1"/>
  <c r="K333" i="1"/>
  <c r="J333" i="1"/>
  <c r="I333" i="1"/>
  <c r="H333" i="1"/>
  <c r="G333" i="1"/>
  <c r="E333" i="1"/>
  <c r="D333" i="1"/>
  <c r="L332" i="1"/>
  <c r="K332" i="1"/>
  <c r="J332" i="1"/>
  <c r="I332" i="1"/>
  <c r="H332" i="1"/>
  <c r="G332" i="1"/>
  <c r="E332" i="1"/>
  <c r="D332" i="1"/>
  <c r="L331" i="1"/>
  <c r="K331" i="1"/>
  <c r="J331" i="1"/>
  <c r="I331" i="1"/>
  <c r="H331" i="1"/>
  <c r="G331" i="1"/>
  <c r="E331" i="1"/>
  <c r="D331" i="1"/>
  <c r="L330" i="1"/>
  <c r="K330" i="1"/>
  <c r="J330" i="1"/>
  <c r="I330" i="1"/>
  <c r="H330" i="1"/>
  <c r="G330" i="1"/>
  <c r="E330" i="1"/>
  <c r="D330" i="1"/>
  <c r="L329" i="1"/>
  <c r="K329" i="1"/>
  <c r="J329" i="1"/>
  <c r="I329" i="1"/>
  <c r="H329" i="1"/>
  <c r="G329" i="1"/>
  <c r="E329" i="1"/>
  <c r="D329" i="1"/>
  <c r="L328" i="1"/>
  <c r="K328" i="1"/>
  <c r="J328" i="1"/>
  <c r="I328" i="1"/>
  <c r="H328" i="1"/>
  <c r="G328" i="1"/>
  <c r="E328" i="1"/>
  <c r="D328" i="1"/>
  <c r="L327" i="1"/>
  <c r="K327" i="1"/>
  <c r="J327" i="1"/>
  <c r="I327" i="1"/>
  <c r="H327" i="1"/>
  <c r="G327" i="1"/>
  <c r="E327" i="1"/>
  <c r="D327" i="1"/>
  <c r="L326" i="1"/>
  <c r="K326" i="1"/>
  <c r="J326" i="1"/>
  <c r="I326" i="1"/>
  <c r="H326" i="1"/>
  <c r="G326" i="1"/>
  <c r="E326" i="1"/>
  <c r="D326" i="1"/>
  <c r="L325" i="1"/>
  <c r="K325" i="1"/>
  <c r="J325" i="1"/>
  <c r="I325" i="1"/>
  <c r="H325" i="1"/>
  <c r="G325" i="1"/>
  <c r="E325" i="1"/>
  <c r="D325" i="1"/>
  <c r="L324" i="1"/>
  <c r="K324" i="1"/>
  <c r="J324" i="1"/>
  <c r="I324" i="1"/>
  <c r="H324" i="1"/>
  <c r="G324" i="1"/>
  <c r="E324" i="1"/>
  <c r="D324" i="1"/>
  <c r="L323" i="1"/>
  <c r="K323" i="1"/>
  <c r="J323" i="1"/>
  <c r="I323" i="1"/>
  <c r="H323" i="1"/>
  <c r="G323" i="1"/>
  <c r="E323" i="1"/>
  <c r="D323" i="1"/>
  <c r="L322" i="1"/>
  <c r="K322" i="1"/>
  <c r="J322" i="1"/>
  <c r="I322" i="1"/>
  <c r="H322" i="1"/>
  <c r="G322" i="1"/>
  <c r="E322" i="1"/>
  <c r="D322" i="1"/>
  <c r="L321" i="1"/>
  <c r="K321" i="1"/>
  <c r="J321" i="1"/>
  <c r="I321" i="1"/>
  <c r="H321" i="1"/>
  <c r="G321" i="1"/>
  <c r="E321" i="1"/>
  <c r="D321" i="1"/>
  <c r="L320" i="1"/>
  <c r="K320" i="1"/>
  <c r="J320" i="1"/>
  <c r="I320" i="1"/>
  <c r="H320" i="1"/>
  <c r="G320" i="1"/>
  <c r="E320" i="1"/>
  <c r="D320" i="1"/>
  <c r="L319" i="1"/>
  <c r="K319" i="1"/>
  <c r="J319" i="1"/>
  <c r="I319" i="1"/>
  <c r="H319" i="1"/>
  <c r="G319" i="1"/>
  <c r="E319" i="1"/>
  <c r="D319" i="1"/>
  <c r="L318" i="1"/>
  <c r="K318" i="1"/>
  <c r="J318" i="1"/>
  <c r="I318" i="1"/>
  <c r="H318" i="1"/>
  <c r="G318" i="1"/>
  <c r="E318" i="1"/>
  <c r="D318" i="1"/>
  <c r="L317" i="1"/>
  <c r="K317" i="1"/>
  <c r="J317" i="1"/>
  <c r="I317" i="1"/>
  <c r="H317" i="1"/>
  <c r="G317" i="1"/>
  <c r="E317" i="1"/>
  <c r="D317" i="1"/>
  <c r="L316" i="1"/>
  <c r="K316" i="1"/>
  <c r="J316" i="1"/>
  <c r="I316" i="1"/>
  <c r="H316" i="1"/>
  <c r="G316" i="1"/>
  <c r="E316" i="1"/>
  <c r="D316" i="1"/>
  <c r="L315" i="1"/>
  <c r="K315" i="1"/>
  <c r="J315" i="1"/>
  <c r="I315" i="1"/>
  <c r="H315" i="1"/>
  <c r="G315" i="1"/>
  <c r="E315" i="1"/>
  <c r="D315" i="1"/>
  <c r="L314" i="1"/>
  <c r="K314" i="1"/>
  <c r="J314" i="1"/>
  <c r="I314" i="1"/>
  <c r="H314" i="1"/>
  <c r="G314" i="1"/>
  <c r="E314" i="1"/>
  <c r="D314" i="1"/>
  <c r="L313" i="1"/>
  <c r="K313" i="1"/>
  <c r="J313" i="1"/>
  <c r="I313" i="1"/>
  <c r="H313" i="1"/>
  <c r="G313" i="1"/>
  <c r="E313" i="1"/>
  <c r="D313" i="1"/>
  <c r="L312" i="1"/>
  <c r="K312" i="1"/>
  <c r="J312" i="1"/>
  <c r="I312" i="1"/>
  <c r="H312" i="1"/>
  <c r="G312" i="1"/>
  <c r="E312" i="1"/>
  <c r="D312" i="1"/>
  <c r="L311" i="1"/>
  <c r="K311" i="1"/>
  <c r="J311" i="1"/>
  <c r="I311" i="1"/>
  <c r="H311" i="1"/>
  <c r="G311" i="1"/>
  <c r="E311" i="1"/>
  <c r="D311" i="1"/>
  <c r="L310" i="1"/>
  <c r="K310" i="1"/>
  <c r="J310" i="1"/>
  <c r="I310" i="1"/>
  <c r="H310" i="1"/>
  <c r="G310" i="1"/>
  <c r="E310" i="1"/>
  <c r="D310" i="1"/>
  <c r="L309" i="1"/>
  <c r="K309" i="1"/>
  <c r="J309" i="1"/>
  <c r="I309" i="1"/>
  <c r="H309" i="1"/>
  <c r="G309" i="1"/>
  <c r="E309" i="1"/>
  <c r="D309" i="1"/>
  <c r="L308" i="1"/>
  <c r="K308" i="1"/>
  <c r="J308" i="1"/>
  <c r="I308" i="1"/>
  <c r="H308" i="1"/>
  <c r="G308" i="1"/>
  <c r="E308" i="1"/>
  <c r="D308" i="1"/>
  <c r="L307" i="1"/>
  <c r="K307" i="1"/>
  <c r="J307" i="1"/>
  <c r="I307" i="1"/>
  <c r="H307" i="1"/>
  <c r="G307" i="1"/>
  <c r="E307" i="1"/>
  <c r="D307" i="1"/>
  <c r="L306" i="1"/>
  <c r="K306" i="1"/>
  <c r="J306" i="1"/>
  <c r="I306" i="1"/>
  <c r="H306" i="1"/>
  <c r="G306" i="1"/>
  <c r="E306" i="1"/>
  <c r="D306" i="1"/>
  <c r="L305" i="1"/>
  <c r="K305" i="1"/>
  <c r="J305" i="1"/>
  <c r="I305" i="1"/>
  <c r="H305" i="1"/>
  <c r="G305" i="1"/>
  <c r="E305" i="1"/>
  <c r="D305" i="1"/>
  <c r="L304" i="1"/>
  <c r="K304" i="1"/>
  <c r="J304" i="1"/>
  <c r="I304" i="1"/>
  <c r="H304" i="1"/>
  <c r="G304" i="1"/>
  <c r="E304" i="1"/>
  <c r="D304" i="1"/>
  <c r="L303" i="1"/>
  <c r="K303" i="1"/>
  <c r="J303" i="1"/>
  <c r="I303" i="1"/>
  <c r="H303" i="1"/>
  <c r="G303" i="1"/>
  <c r="E303" i="1"/>
  <c r="D303" i="1"/>
  <c r="L302" i="1"/>
  <c r="K302" i="1"/>
  <c r="J302" i="1"/>
  <c r="I302" i="1"/>
  <c r="H302" i="1"/>
  <c r="G302" i="1"/>
  <c r="E302" i="1"/>
  <c r="D302" i="1"/>
  <c r="L301" i="1"/>
  <c r="K301" i="1"/>
  <c r="J301" i="1"/>
  <c r="I301" i="1"/>
  <c r="H301" i="1"/>
  <c r="G301" i="1"/>
  <c r="E301" i="1"/>
  <c r="D301" i="1"/>
  <c r="L300" i="1"/>
  <c r="K300" i="1"/>
  <c r="J300" i="1"/>
  <c r="I300" i="1"/>
  <c r="H300" i="1"/>
  <c r="G300" i="1"/>
  <c r="E300" i="1"/>
  <c r="D300" i="1"/>
  <c r="L299" i="1"/>
  <c r="K299" i="1"/>
  <c r="J299" i="1"/>
  <c r="I299" i="1"/>
  <c r="H299" i="1"/>
  <c r="G299" i="1"/>
  <c r="E299" i="1"/>
  <c r="D299" i="1"/>
  <c r="L298" i="1"/>
  <c r="K298" i="1"/>
  <c r="J298" i="1"/>
  <c r="I298" i="1"/>
  <c r="H298" i="1"/>
  <c r="G298" i="1"/>
  <c r="E298" i="1"/>
  <c r="D298" i="1"/>
  <c r="L297" i="1"/>
  <c r="K297" i="1"/>
  <c r="J297" i="1"/>
  <c r="I297" i="1"/>
  <c r="H297" i="1"/>
  <c r="G297" i="1"/>
  <c r="E297" i="1"/>
  <c r="D297" i="1"/>
  <c r="L296" i="1"/>
  <c r="K296" i="1"/>
  <c r="J296" i="1"/>
  <c r="I296" i="1"/>
  <c r="H296" i="1"/>
  <c r="G296" i="1"/>
  <c r="E296" i="1"/>
  <c r="D296" i="1"/>
  <c r="L295" i="1"/>
  <c r="K295" i="1"/>
  <c r="J295" i="1"/>
  <c r="I295" i="1"/>
  <c r="H295" i="1"/>
  <c r="G295" i="1"/>
  <c r="E295" i="1"/>
  <c r="D295" i="1"/>
  <c r="L294" i="1"/>
  <c r="K294" i="1"/>
  <c r="J294" i="1"/>
  <c r="I294" i="1"/>
  <c r="H294" i="1"/>
  <c r="G294" i="1"/>
  <c r="E294" i="1"/>
  <c r="D294" i="1"/>
  <c r="L293" i="1"/>
  <c r="K293" i="1"/>
  <c r="J293" i="1"/>
  <c r="I293" i="1"/>
  <c r="H293" i="1"/>
  <c r="G293" i="1"/>
  <c r="E293" i="1"/>
  <c r="D293" i="1"/>
  <c r="L292" i="1"/>
  <c r="K292" i="1"/>
  <c r="J292" i="1"/>
  <c r="I292" i="1"/>
  <c r="H292" i="1"/>
  <c r="G292" i="1"/>
  <c r="E292" i="1"/>
  <c r="D292" i="1"/>
  <c r="L291" i="1"/>
  <c r="K291" i="1"/>
  <c r="J291" i="1"/>
  <c r="I291" i="1"/>
  <c r="H291" i="1"/>
  <c r="G291" i="1"/>
  <c r="E291" i="1"/>
  <c r="D291" i="1"/>
  <c r="L290" i="1"/>
  <c r="K290" i="1"/>
  <c r="J290" i="1"/>
  <c r="I290" i="1"/>
  <c r="H290" i="1"/>
  <c r="G290" i="1"/>
  <c r="E290" i="1"/>
  <c r="D290" i="1"/>
  <c r="L289" i="1"/>
  <c r="K289" i="1"/>
  <c r="J289" i="1"/>
  <c r="I289" i="1"/>
  <c r="H289" i="1"/>
  <c r="G289" i="1"/>
  <c r="E289" i="1"/>
  <c r="D289" i="1"/>
  <c r="L288" i="1"/>
  <c r="K288" i="1"/>
  <c r="J288" i="1"/>
  <c r="I288" i="1"/>
  <c r="H288" i="1"/>
  <c r="G288" i="1"/>
  <c r="E288" i="1"/>
  <c r="D288" i="1"/>
  <c r="L287" i="1"/>
  <c r="K287" i="1"/>
  <c r="J287" i="1"/>
  <c r="I287" i="1"/>
  <c r="H287" i="1"/>
  <c r="G287" i="1"/>
  <c r="E287" i="1"/>
  <c r="D287" i="1"/>
  <c r="L286" i="1"/>
  <c r="K286" i="1"/>
  <c r="J286" i="1"/>
  <c r="I286" i="1"/>
  <c r="H286" i="1"/>
  <c r="G286" i="1"/>
  <c r="E286" i="1"/>
  <c r="D286" i="1"/>
  <c r="L285" i="1"/>
  <c r="K285" i="1"/>
  <c r="J285" i="1"/>
  <c r="I285" i="1"/>
  <c r="H285" i="1"/>
  <c r="G285" i="1"/>
  <c r="E285" i="1"/>
  <c r="D285" i="1"/>
  <c r="L284" i="1"/>
  <c r="K284" i="1"/>
  <c r="J284" i="1"/>
  <c r="I284" i="1"/>
  <c r="H284" i="1"/>
  <c r="G284" i="1"/>
  <c r="E284" i="1"/>
  <c r="D284" i="1"/>
  <c r="L283" i="1"/>
  <c r="K283" i="1"/>
  <c r="J283" i="1"/>
  <c r="I283" i="1"/>
  <c r="H283" i="1"/>
  <c r="G283" i="1"/>
  <c r="E283" i="1"/>
  <c r="D283" i="1"/>
  <c r="L282" i="1"/>
  <c r="K282" i="1"/>
  <c r="J282" i="1"/>
  <c r="I282" i="1"/>
  <c r="H282" i="1"/>
  <c r="G282" i="1"/>
  <c r="E282" i="1"/>
  <c r="D282" i="1"/>
  <c r="L281" i="1"/>
  <c r="K281" i="1"/>
  <c r="J281" i="1"/>
  <c r="I281" i="1"/>
  <c r="H281" i="1"/>
  <c r="G281" i="1"/>
  <c r="E281" i="1"/>
  <c r="D281" i="1"/>
  <c r="L280" i="1"/>
  <c r="K280" i="1"/>
  <c r="J280" i="1"/>
  <c r="I280" i="1"/>
  <c r="H280" i="1"/>
  <c r="G280" i="1"/>
  <c r="E280" i="1"/>
  <c r="D280" i="1"/>
  <c r="L279" i="1"/>
  <c r="K279" i="1"/>
  <c r="J279" i="1"/>
  <c r="I279" i="1"/>
  <c r="H279" i="1"/>
  <c r="G279" i="1"/>
  <c r="E279" i="1"/>
  <c r="D279" i="1"/>
  <c r="L278" i="1"/>
  <c r="K278" i="1"/>
  <c r="J278" i="1"/>
  <c r="I278" i="1"/>
  <c r="H278" i="1"/>
  <c r="G278" i="1"/>
  <c r="E278" i="1"/>
  <c r="D278" i="1"/>
  <c r="L277" i="1"/>
  <c r="K277" i="1"/>
  <c r="J277" i="1"/>
  <c r="I277" i="1"/>
  <c r="H277" i="1"/>
  <c r="G277" i="1"/>
  <c r="E277" i="1"/>
  <c r="D277" i="1"/>
  <c r="L276" i="1"/>
  <c r="K276" i="1"/>
  <c r="J276" i="1"/>
  <c r="I276" i="1"/>
  <c r="H276" i="1"/>
  <c r="G276" i="1"/>
  <c r="E276" i="1"/>
  <c r="D276" i="1"/>
  <c r="L275" i="1"/>
  <c r="K275" i="1"/>
  <c r="J275" i="1"/>
  <c r="I275" i="1"/>
  <c r="H275" i="1"/>
  <c r="G275" i="1"/>
  <c r="E275" i="1"/>
  <c r="D275" i="1"/>
  <c r="L274" i="1"/>
  <c r="K274" i="1"/>
  <c r="J274" i="1"/>
  <c r="I274" i="1"/>
  <c r="H274" i="1"/>
  <c r="G274" i="1"/>
  <c r="E274" i="1"/>
  <c r="D274" i="1"/>
  <c r="L273" i="1"/>
  <c r="K273" i="1"/>
  <c r="J273" i="1"/>
  <c r="I273" i="1"/>
  <c r="H273" i="1"/>
  <c r="G273" i="1"/>
  <c r="E273" i="1"/>
  <c r="D273" i="1"/>
  <c r="L272" i="1"/>
  <c r="K272" i="1"/>
  <c r="J272" i="1"/>
  <c r="I272" i="1"/>
  <c r="H272" i="1"/>
  <c r="G272" i="1"/>
  <c r="E272" i="1"/>
  <c r="D272" i="1"/>
  <c r="L271" i="1"/>
  <c r="K271" i="1"/>
  <c r="J271" i="1"/>
  <c r="I271" i="1"/>
  <c r="H271" i="1"/>
  <c r="G271" i="1"/>
  <c r="E271" i="1"/>
  <c r="D271" i="1"/>
  <c r="L270" i="1"/>
  <c r="K270" i="1"/>
  <c r="J270" i="1"/>
  <c r="I270" i="1"/>
  <c r="H270" i="1"/>
  <c r="G270" i="1"/>
  <c r="E270" i="1"/>
  <c r="D270" i="1"/>
  <c r="L269" i="1"/>
  <c r="K269" i="1"/>
  <c r="J269" i="1"/>
  <c r="I269" i="1"/>
  <c r="H269" i="1"/>
  <c r="G269" i="1"/>
  <c r="E269" i="1"/>
  <c r="D269" i="1"/>
  <c r="L268" i="1"/>
  <c r="K268" i="1"/>
  <c r="J268" i="1"/>
  <c r="I268" i="1"/>
  <c r="H268" i="1"/>
  <c r="G268" i="1"/>
  <c r="E268" i="1"/>
  <c r="D268" i="1"/>
  <c r="L267" i="1"/>
  <c r="K267" i="1"/>
  <c r="J267" i="1"/>
  <c r="I267" i="1"/>
  <c r="H267" i="1"/>
  <c r="G267" i="1"/>
  <c r="E267" i="1"/>
  <c r="D267" i="1"/>
  <c r="L266" i="1"/>
  <c r="K266" i="1"/>
  <c r="J266" i="1"/>
  <c r="I266" i="1"/>
  <c r="H266" i="1"/>
  <c r="G266" i="1"/>
  <c r="E266" i="1"/>
  <c r="D266" i="1"/>
  <c r="L265" i="1"/>
  <c r="K265" i="1"/>
  <c r="J265" i="1"/>
  <c r="I265" i="1"/>
  <c r="H265" i="1"/>
  <c r="G265" i="1"/>
  <c r="E265" i="1"/>
  <c r="D265" i="1"/>
  <c r="L264" i="1"/>
  <c r="K264" i="1"/>
  <c r="J264" i="1"/>
  <c r="I264" i="1"/>
  <c r="H264" i="1"/>
  <c r="G264" i="1"/>
  <c r="E264" i="1"/>
  <c r="D264" i="1"/>
  <c r="L263" i="1"/>
  <c r="K263" i="1"/>
  <c r="J263" i="1"/>
  <c r="I263" i="1"/>
  <c r="H263" i="1"/>
  <c r="G263" i="1"/>
  <c r="E263" i="1"/>
  <c r="D263" i="1"/>
  <c r="L262" i="1"/>
  <c r="K262" i="1"/>
  <c r="J262" i="1"/>
  <c r="I262" i="1"/>
  <c r="H262" i="1"/>
  <c r="G262" i="1"/>
  <c r="E262" i="1"/>
  <c r="D262" i="1"/>
  <c r="L261" i="1"/>
  <c r="K261" i="1"/>
  <c r="J261" i="1"/>
  <c r="I261" i="1"/>
  <c r="H261" i="1"/>
  <c r="G261" i="1"/>
  <c r="E261" i="1"/>
  <c r="D261" i="1"/>
  <c r="L260" i="1"/>
  <c r="K260" i="1"/>
  <c r="J260" i="1"/>
  <c r="I260" i="1"/>
  <c r="H260" i="1"/>
  <c r="G260" i="1"/>
  <c r="E260" i="1"/>
  <c r="D260" i="1"/>
  <c r="L259" i="1"/>
  <c r="K259" i="1"/>
  <c r="J259" i="1"/>
  <c r="I259" i="1"/>
  <c r="H259" i="1"/>
  <c r="G259" i="1"/>
  <c r="E259" i="1"/>
  <c r="D259" i="1"/>
  <c r="L258" i="1"/>
  <c r="K258" i="1"/>
  <c r="J258" i="1"/>
  <c r="I258" i="1"/>
  <c r="H258" i="1"/>
  <c r="G258" i="1"/>
  <c r="E258" i="1"/>
  <c r="D258" i="1"/>
  <c r="L257" i="1"/>
  <c r="K257" i="1"/>
  <c r="J257" i="1"/>
  <c r="I257" i="1"/>
  <c r="H257" i="1"/>
  <c r="G257" i="1"/>
  <c r="E257" i="1"/>
  <c r="D257" i="1"/>
  <c r="L256" i="1"/>
  <c r="K256" i="1"/>
  <c r="J256" i="1"/>
  <c r="I256" i="1"/>
  <c r="H256" i="1"/>
  <c r="G256" i="1"/>
  <c r="E256" i="1"/>
  <c r="D256" i="1"/>
  <c r="L255" i="1"/>
  <c r="K255" i="1"/>
  <c r="J255" i="1"/>
  <c r="I255" i="1"/>
  <c r="H255" i="1"/>
  <c r="G255" i="1"/>
  <c r="E255" i="1"/>
  <c r="D255" i="1"/>
  <c r="L254" i="1"/>
  <c r="K254" i="1"/>
  <c r="J254" i="1"/>
  <c r="I254" i="1"/>
  <c r="H254" i="1"/>
  <c r="G254" i="1"/>
  <c r="E254" i="1"/>
  <c r="D254" i="1"/>
  <c r="L253" i="1"/>
  <c r="K253" i="1"/>
  <c r="J253" i="1"/>
  <c r="I253" i="1"/>
  <c r="H253" i="1"/>
  <c r="G253" i="1"/>
  <c r="E253" i="1"/>
  <c r="D253" i="1"/>
  <c r="L252" i="1"/>
  <c r="K252" i="1"/>
  <c r="J252" i="1"/>
  <c r="I252" i="1"/>
  <c r="H252" i="1"/>
  <c r="G252" i="1"/>
  <c r="E252" i="1"/>
  <c r="D252" i="1"/>
  <c r="L251" i="1"/>
  <c r="K251" i="1"/>
  <c r="J251" i="1"/>
  <c r="I251" i="1"/>
  <c r="H251" i="1"/>
  <c r="G251" i="1"/>
  <c r="E251" i="1"/>
  <c r="D251" i="1"/>
  <c r="L250" i="1"/>
  <c r="K250" i="1"/>
  <c r="J250" i="1"/>
  <c r="I250" i="1"/>
  <c r="H250" i="1"/>
  <c r="G250" i="1"/>
  <c r="E250" i="1"/>
  <c r="D250" i="1"/>
  <c r="L249" i="1"/>
  <c r="K249" i="1"/>
  <c r="J249" i="1"/>
  <c r="I249" i="1"/>
  <c r="H249" i="1"/>
  <c r="G249" i="1"/>
  <c r="E249" i="1"/>
  <c r="D249" i="1"/>
  <c r="L248" i="1"/>
  <c r="K248" i="1"/>
  <c r="J248" i="1"/>
  <c r="I248" i="1"/>
  <c r="H248" i="1"/>
  <c r="G248" i="1"/>
  <c r="E248" i="1"/>
  <c r="D248" i="1"/>
  <c r="L247" i="1"/>
  <c r="K247" i="1"/>
  <c r="J247" i="1"/>
  <c r="I247" i="1"/>
  <c r="H247" i="1"/>
  <c r="G247" i="1"/>
  <c r="E247" i="1"/>
  <c r="D247" i="1"/>
  <c r="L246" i="1"/>
  <c r="K246" i="1"/>
  <c r="J246" i="1"/>
  <c r="I246" i="1"/>
  <c r="H246" i="1"/>
  <c r="G246" i="1"/>
  <c r="E246" i="1"/>
  <c r="D246" i="1"/>
  <c r="L245" i="1"/>
  <c r="K245" i="1"/>
  <c r="J245" i="1"/>
  <c r="I245" i="1"/>
  <c r="H245" i="1"/>
  <c r="G245" i="1"/>
  <c r="E245" i="1"/>
  <c r="D245" i="1"/>
  <c r="L244" i="1"/>
  <c r="K244" i="1"/>
  <c r="J244" i="1"/>
  <c r="I244" i="1"/>
  <c r="H244" i="1"/>
  <c r="G244" i="1"/>
  <c r="E244" i="1"/>
  <c r="D244" i="1"/>
  <c r="L243" i="1"/>
  <c r="K243" i="1"/>
  <c r="J243" i="1"/>
  <c r="I243" i="1"/>
  <c r="H243" i="1"/>
  <c r="G243" i="1"/>
  <c r="E243" i="1"/>
  <c r="D243" i="1"/>
  <c r="L242" i="1"/>
  <c r="K242" i="1"/>
  <c r="J242" i="1"/>
  <c r="I242" i="1"/>
  <c r="H242" i="1"/>
  <c r="G242" i="1"/>
  <c r="E242" i="1"/>
  <c r="D242" i="1"/>
  <c r="L241" i="1"/>
  <c r="K241" i="1"/>
  <c r="J241" i="1"/>
  <c r="I241" i="1"/>
  <c r="H241" i="1"/>
  <c r="G241" i="1"/>
  <c r="E241" i="1"/>
  <c r="D241" i="1"/>
  <c r="L240" i="1"/>
  <c r="K240" i="1"/>
  <c r="J240" i="1"/>
  <c r="I240" i="1"/>
  <c r="H240" i="1"/>
  <c r="G240" i="1"/>
  <c r="E240" i="1"/>
  <c r="D240" i="1"/>
  <c r="L239" i="1"/>
  <c r="K239" i="1"/>
  <c r="J239" i="1"/>
  <c r="I239" i="1"/>
  <c r="H239" i="1"/>
  <c r="G239" i="1"/>
  <c r="E239" i="1"/>
  <c r="D239" i="1"/>
  <c r="L238" i="1"/>
  <c r="K238" i="1"/>
  <c r="J238" i="1"/>
  <c r="I238" i="1"/>
  <c r="H238" i="1"/>
  <c r="G238" i="1"/>
  <c r="E238" i="1"/>
  <c r="D238" i="1"/>
  <c r="L237" i="1"/>
  <c r="K237" i="1"/>
  <c r="J237" i="1"/>
  <c r="I237" i="1"/>
  <c r="H237" i="1"/>
  <c r="G237" i="1"/>
  <c r="E237" i="1"/>
  <c r="D237" i="1"/>
  <c r="L236" i="1"/>
  <c r="K236" i="1"/>
  <c r="J236" i="1"/>
  <c r="I236" i="1"/>
  <c r="H236" i="1"/>
  <c r="G236" i="1"/>
  <c r="E236" i="1"/>
  <c r="D236" i="1"/>
  <c r="L235" i="1"/>
  <c r="K235" i="1"/>
  <c r="J235" i="1"/>
  <c r="I235" i="1"/>
  <c r="H235" i="1"/>
  <c r="G235" i="1"/>
  <c r="E235" i="1"/>
  <c r="D235" i="1"/>
  <c r="L234" i="1"/>
  <c r="K234" i="1"/>
  <c r="J234" i="1"/>
  <c r="I234" i="1"/>
  <c r="H234" i="1"/>
  <c r="G234" i="1"/>
  <c r="E234" i="1"/>
  <c r="D234" i="1"/>
  <c r="L233" i="1"/>
  <c r="K233" i="1"/>
  <c r="J233" i="1"/>
  <c r="I233" i="1"/>
  <c r="H233" i="1"/>
  <c r="G233" i="1"/>
  <c r="E233" i="1"/>
  <c r="D233" i="1"/>
  <c r="L232" i="1"/>
  <c r="K232" i="1"/>
  <c r="J232" i="1"/>
  <c r="I232" i="1"/>
  <c r="H232" i="1"/>
  <c r="G232" i="1"/>
  <c r="E232" i="1"/>
  <c r="D232" i="1"/>
  <c r="L231" i="1"/>
  <c r="K231" i="1"/>
  <c r="J231" i="1"/>
  <c r="I231" i="1"/>
  <c r="H231" i="1"/>
  <c r="G231" i="1"/>
  <c r="E231" i="1"/>
  <c r="D231" i="1"/>
  <c r="L230" i="1"/>
  <c r="K230" i="1"/>
  <c r="J230" i="1"/>
  <c r="I230" i="1"/>
  <c r="H230" i="1"/>
  <c r="G230" i="1"/>
  <c r="E230" i="1"/>
  <c r="D230" i="1"/>
  <c r="L229" i="1"/>
  <c r="K229" i="1"/>
  <c r="J229" i="1"/>
  <c r="I229" i="1"/>
  <c r="H229" i="1"/>
  <c r="G229" i="1"/>
  <c r="E229" i="1"/>
  <c r="D229" i="1"/>
  <c r="L228" i="1"/>
  <c r="K228" i="1"/>
  <c r="J228" i="1"/>
  <c r="I228" i="1"/>
  <c r="H228" i="1"/>
  <c r="G228" i="1"/>
  <c r="E228" i="1"/>
  <c r="D228" i="1"/>
  <c r="L227" i="1"/>
  <c r="K227" i="1"/>
  <c r="J227" i="1"/>
  <c r="I227" i="1"/>
  <c r="H227" i="1"/>
  <c r="G227" i="1"/>
  <c r="E227" i="1"/>
  <c r="D227" i="1"/>
  <c r="L226" i="1"/>
  <c r="K226" i="1"/>
  <c r="J226" i="1"/>
  <c r="I226" i="1"/>
  <c r="H226" i="1"/>
  <c r="G226" i="1"/>
  <c r="E226" i="1"/>
  <c r="D226" i="1"/>
  <c r="L225" i="1"/>
  <c r="K225" i="1"/>
  <c r="J225" i="1"/>
  <c r="I225" i="1"/>
  <c r="H225" i="1"/>
  <c r="G225" i="1"/>
  <c r="E225" i="1"/>
  <c r="D225" i="1"/>
  <c r="L224" i="1"/>
  <c r="K224" i="1"/>
  <c r="J224" i="1"/>
  <c r="I224" i="1"/>
  <c r="H224" i="1"/>
  <c r="G224" i="1"/>
  <c r="E224" i="1"/>
  <c r="D224" i="1"/>
  <c r="L223" i="1"/>
  <c r="K223" i="1"/>
  <c r="J223" i="1"/>
  <c r="I223" i="1"/>
  <c r="H223" i="1"/>
  <c r="G223" i="1"/>
  <c r="E223" i="1"/>
  <c r="D223" i="1"/>
  <c r="L222" i="1"/>
  <c r="K222" i="1"/>
  <c r="J222" i="1"/>
  <c r="I222" i="1"/>
  <c r="H222" i="1"/>
  <c r="G222" i="1"/>
  <c r="E222" i="1"/>
  <c r="D222" i="1"/>
  <c r="L221" i="1"/>
  <c r="K221" i="1"/>
  <c r="J221" i="1"/>
  <c r="I221" i="1"/>
  <c r="H221" i="1"/>
  <c r="G221" i="1"/>
  <c r="E221" i="1"/>
  <c r="D221" i="1"/>
  <c r="L220" i="1"/>
  <c r="K220" i="1"/>
  <c r="J220" i="1"/>
  <c r="I220" i="1"/>
  <c r="H220" i="1"/>
  <c r="G220" i="1"/>
  <c r="E220" i="1"/>
  <c r="D220" i="1"/>
  <c r="L219" i="1"/>
  <c r="K219" i="1"/>
  <c r="J219" i="1"/>
  <c r="I219" i="1"/>
  <c r="H219" i="1"/>
  <c r="G219" i="1"/>
  <c r="E219" i="1"/>
  <c r="D219" i="1"/>
  <c r="L218" i="1"/>
  <c r="K218" i="1"/>
  <c r="J218" i="1"/>
  <c r="I218" i="1"/>
  <c r="H218" i="1"/>
  <c r="G218" i="1"/>
  <c r="E218" i="1"/>
  <c r="D218" i="1"/>
  <c r="L217" i="1"/>
  <c r="K217" i="1"/>
  <c r="J217" i="1"/>
  <c r="I217" i="1"/>
  <c r="H217" i="1"/>
  <c r="G217" i="1"/>
  <c r="E217" i="1"/>
  <c r="D217" i="1"/>
  <c r="L216" i="1"/>
  <c r="K216" i="1"/>
  <c r="J216" i="1"/>
  <c r="I216" i="1"/>
  <c r="H216" i="1"/>
  <c r="G216" i="1"/>
  <c r="E216" i="1"/>
  <c r="D216" i="1"/>
  <c r="L215" i="1"/>
  <c r="K215" i="1"/>
  <c r="J215" i="1"/>
  <c r="I215" i="1"/>
  <c r="H215" i="1"/>
  <c r="G215" i="1"/>
  <c r="E215" i="1"/>
  <c r="D215" i="1"/>
  <c r="L214" i="1"/>
  <c r="K214" i="1"/>
  <c r="J214" i="1"/>
  <c r="I214" i="1"/>
  <c r="H214" i="1"/>
  <c r="G214" i="1"/>
  <c r="E214" i="1"/>
  <c r="D214" i="1"/>
  <c r="L213" i="1"/>
  <c r="K213" i="1"/>
  <c r="J213" i="1"/>
  <c r="I213" i="1"/>
  <c r="H213" i="1"/>
  <c r="G213" i="1"/>
  <c r="E213" i="1"/>
  <c r="D213" i="1"/>
  <c r="L212" i="1"/>
  <c r="K212" i="1"/>
  <c r="J212" i="1"/>
  <c r="I212" i="1"/>
  <c r="H212" i="1"/>
  <c r="G212" i="1"/>
  <c r="E212" i="1"/>
  <c r="D212" i="1"/>
  <c r="L211" i="1"/>
  <c r="K211" i="1"/>
  <c r="J211" i="1"/>
  <c r="I211" i="1"/>
  <c r="H211" i="1"/>
  <c r="G211" i="1"/>
  <c r="E211" i="1"/>
  <c r="D211" i="1"/>
  <c r="L210" i="1"/>
  <c r="K210" i="1"/>
  <c r="J210" i="1"/>
  <c r="I210" i="1"/>
  <c r="H210" i="1"/>
  <c r="G210" i="1"/>
  <c r="E210" i="1"/>
  <c r="D210" i="1"/>
  <c r="L209" i="1"/>
  <c r="K209" i="1"/>
  <c r="J209" i="1"/>
  <c r="J346" i="1" s="1"/>
  <c r="I209" i="1"/>
  <c r="H209" i="1"/>
  <c r="G209" i="1"/>
  <c r="G346" i="1" s="1"/>
  <c r="E209" i="1"/>
  <c r="D209" i="1"/>
  <c r="L204" i="1"/>
  <c r="K204" i="1"/>
  <c r="J204" i="1"/>
  <c r="I204" i="1"/>
  <c r="H204" i="1"/>
  <c r="G204" i="1"/>
  <c r="L203" i="1"/>
  <c r="K203" i="1"/>
  <c r="J203" i="1"/>
  <c r="I203" i="1"/>
  <c r="H203" i="1"/>
  <c r="G203" i="1"/>
  <c r="L202" i="1"/>
  <c r="K202" i="1"/>
  <c r="J202" i="1"/>
  <c r="I202" i="1"/>
  <c r="H202" i="1"/>
  <c r="G202" i="1"/>
  <c r="L201" i="1"/>
  <c r="K201" i="1"/>
  <c r="J201" i="1"/>
  <c r="I201" i="1"/>
  <c r="H201" i="1"/>
  <c r="G201" i="1"/>
  <c r="L200" i="1"/>
  <c r="K200" i="1"/>
  <c r="J200" i="1"/>
  <c r="I200" i="1"/>
  <c r="H200" i="1"/>
  <c r="G200" i="1"/>
  <c r="L199" i="1"/>
  <c r="K199" i="1"/>
  <c r="J199" i="1"/>
  <c r="I199" i="1"/>
  <c r="H199" i="1"/>
  <c r="G199" i="1"/>
  <c r="L198" i="1"/>
  <c r="K198" i="1"/>
  <c r="J198" i="1"/>
  <c r="I198" i="1"/>
  <c r="H198" i="1"/>
  <c r="G198" i="1"/>
  <c r="L197" i="1"/>
  <c r="K197" i="1"/>
  <c r="J197" i="1"/>
  <c r="I197" i="1"/>
  <c r="H197" i="1"/>
  <c r="G197" i="1"/>
  <c r="L196" i="1"/>
  <c r="K196" i="1"/>
  <c r="J196" i="1"/>
  <c r="I196" i="1"/>
  <c r="H196" i="1"/>
  <c r="G196" i="1"/>
  <c r="L195" i="1"/>
  <c r="K195" i="1"/>
  <c r="J195" i="1"/>
  <c r="I195" i="1"/>
  <c r="H195" i="1"/>
  <c r="G195" i="1"/>
  <c r="L194" i="1"/>
  <c r="K194" i="1"/>
  <c r="J194" i="1"/>
  <c r="I194" i="1"/>
  <c r="H194" i="1"/>
  <c r="G194" i="1"/>
  <c r="L193" i="1"/>
  <c r="K193" i="1"/>
  <c r="J193" i="1"/>
  <c r="I193" i="1"/>
  <c r="H193" i="1"/>
  <c r="G193" i="1"/>
  <c r="G192" i="1"/>
  <c r="L191" i="1"/>
  <c r="K191" i="1"/>
  <c r="J191" i="1"/>
  <c r="I191" i="1"/>
  <c r="H191" i="1"/>
  <c r="G191" i="1"/>
  <c r="L190" i="1"/>
  <c r="K190" i="1"/>
  <c r="J190" i="1"/>
  <c r="I190" i="1"/>
  <c r="H190" i="1"/>
  <c r="G190" i="1"/>
  <c r="L189" i="1"/>
  <c r="K189" i="1"/>
  <c r="J189" i="1"/>
  <c r="I189" i="1"/>
  <c r="H189" i="1"/>
  <c r="G189" i="1"/>
  <c r="L188" i="1"/>
  <c r="K188" i="1"/>
  <c r="J188" i="1"/>
  <c r="I188" i="1"/>
  <c r="H188" i="1"/>
  <c r="G188" i="1"/>
  <c r="L187" i="1"/>
  <c r="K187" i="1"/>
  <c r="J187" i="1"/>
  <c r="I187" i="1"/>
  <c r="H187" i="1"/>
  <c r="G187" i="1"/>
  <c r="L186" i="1"/>
  <c r="K186" i="1"/>
  <c r="J186" i="1"/>
  <c r="I186" i="1"/>
  <c r="H186" i="1"/>
  <c r="G186" i="1"/>
  <c r="L185" i="1"/>
  <c r="K185" i="1"/>
  <c r="J185" i="1"/>
  <c r="I185" i="1"/>
  <c r="H185" i="1"/>
  <c r="G185" i="1"/>
  <c r="L184" i="1"/>
  <c r="K184" i="1"/>
  <c r="J184" i="1"/>
  <c r="I184" i="1"/>
  <c r="H184" i="1"/>
  <c r="G184" i="1"/>
  <c r="L183" i="1"/>
  <c r="K183" i="1"/>
  <c r="J183" i="1"/>
  <c r="I183" i="1"/>
  <c r="H183" i="1"/>
  <c r="G183" i="1"/>
  <c r="L182" i="1"/>
  <c r="K182" i="1"/>
  <c r="J182" i="1"/>
  <c r="I182" i="1"/>
  <c r="H182" i="1"/>
  <c r="G182" i="1"/>
  <c r="L181" i="1"/>
  <c r="K181" i="1"/>
  <c r="J181" i="1"/>
  <c r="I181" i="1"/>
  <c r="H181" i="1"/>
  <c r="G181" i="1"/>
  <c r="L180" i="1"/>
  <c r="K180" i="1"/>
  <c r="J180" i="1"/>
  <c r="I180" i="1"/>
  <c r="H180" i="1"/>
  <c r="G180" i="1"/>
  <c r="L179" i="1"/>
  <c r="K179" i="1"/>
  <c r="J179" i="1"/>
  <c r="I179" i="1"/>
  <c r="H179" i="1"/>
  <c r="G179" i="1"/>
  <c r="L178" i="1"/>
  <c r="K178" i="1"/>
  <c r="J178" i="1"/>
  <c r="I178" i="1"/>
  <c r="H178" i="1"/>
  <c r="G178" i="1"/>
  <c r="L177" i="1"/>
  <c r="K177" i="1"/>
  <c r="J177" i="1"/>
  <c r="I177" i="1"/>
  <c r="H177" i="1"/>
  <c r="G177" i="1"/>
  <c r="L176" i="1"/>
  <c r="K176" i="1"/>
  <c r="J176" i="1"/>
  <c r="I176" i="1"/>
  <c r="H176" i="1"/>
  <c r="G176" i="1"/>
  <c r="L175" i="1"/>
  <c r="K175" i="1"/>
  <c r="J175" i="1"/>
  <c r="I175" i="1"/>
  <c r="H175" i="1"/>
  <c r="G175" i="1"/>
  <c r="L174" i="1"/>
  <c r="K174" i="1"/>
  <c r="J174" i="1"/>
  <c r="I174" i="1"/>
  <c r="H174" i="1"/>
  <c r="G174" i="1"/>
  <c r="L173" i="1"/>
  <c r="K173" i="1"/>
  <c r="J173" i="1"/>
  <c r="I173" i="1"/>
  <c r="H173" i="1"/>
  <c r="G173" i="1"/>
  <c r="L172" i="1"/>
  <c r="K172" i="1"/>
  <c r="J172" i="1"/>
  <c r="I172" i="1"/>
  <c r="H172" i="1"/>
  <c r="G172" i="1"/>
  <c r="L171" i="1"/>
  <c r="K171" i="1"/>
  <c r="J171" i="1"/>
  <c r="I171" i="1"/>
  <c r="H171" i="1"/>
  <c r="G171" i="1"/>
  <c r="L170" i="1"/>
  <c r="K170" i="1"/>
  <c r="J170" i="1"/>
  <c r="I170" i="1"/>
  <c r="H170" i="1"/>
  <c r="G170" i="1"/>
  <c r="L169" i="1"/>
  <c r="K169" i="1"/>
  <c r="J169" i="1"/>
  <c r="I169" i="1"/>
  <c r="H169" i="1"/>
  <c r="G169" i="1"/>
  <c r="L168" i="1"/>
  <c r="K168" i="1"/>
  <c r="J168" i="1"/>
  <c r="I168" i="1"/>
  <c r="H168" i="1"/>
  <c r="G168" i="1"/>
  <c r="L167" i="1"/>
  <c r="K167" i="1"/>
  <c r="J167" i="1"/>
  <c r="I167" i="1"/>
  <c r="H167" i="1"/>
  <c r="G167" i="1"/>
  <c r="L166" i="1"/>
  <c r="K166" i="1"/>
  <c r="J166" i="1"/>
  <c r="I166" i="1"/>
  <c r="H166" i="1"/>
  <c r="G166" i="1"/>
  <c r="L165" i="1"/>
  <c r="K165" i="1"/>
  <c r="J165" i="1"/>
  <c r="I165" i="1"/>
  <c r="H165" i="1"/>
  <c r="G165" i="1"/>
  <c r="L164" i="1"/>
  <c r="K164" i="1"/>
  <c r="J164" i="1"/>
  <c r="I164" i="1"/>
  <c r="H164" i="1"/>
  <c r="G164" i="1"/>
  <c r="L163" i="1"/>
  <c r="K163" i="1"/>
  <c r="J163" i="1"/>
  <c r="I163" i="1"/>
  <c r="H163" i="1"/>
  <c r="G163" i="1"/>
  <c r="L162" i="1"/>
  <c r="K162" i="1"/>
  <c r="J162" i="1"/>
  <c r="I162" i="1"/>
  <c r="H162" i="1"/>
  <c r="G162" i="1"/>
  <c r="L161" i="1"/>
  <c r="K161" i="1"/>
  <c r="J161" i="1"/>
  <c r="I161" i="1"/>
  <c r="H161" i="1"/>
  <c r="G161" i="1"/>
  <c r="L160" i="1"/>
  <c r="K160" i="1"/>
  <c r="J160" i="1"/>
  <c r="I160" i="1"/>
  <c r="H160" i="1"/>
  <c r="G160" i="1"/>
  <c r="L159" i="1"/>
  <c r="K159" i="1"/>
  <c r="J159" i="1"/>
  <c r="I159" i="1"/>
  <c r="H159" i="1"/>
  <c r="G159" i="1"/>
  <c r="L158" i="1"/>
  <c r="K158" i="1"/>
  <c r="J158" i="1"/>
  <c r="I158" i="1"/>
  <c r="H158" i="1"/>
  <c r="G158" i="1"/>
  <c r="L157" i="1"/>
  <c r="K157" i="1"/>
  <c r="J157" i="1"/>
  <c r="I157" i="1"/>
  <c r="H157" i="1"/>
  <c r="G157" i="1"/>
  <c r="L156" i="1"/>
  <c r="K156" i="1"/>
  <c r="J156" i="1"/>
  <c r="I156" i="1"/>
  <c r="H156" i="1"/>
  <c r="G156" i="1"/>
  <c r="L155" i="1"/>
  <c r="K155" i="1"/>
  <c r="J155" i="1"/>
  <c r="I155" i="1"/>
  <c r="H155" i="1"/>
  <c r="G155" i="1"/>
  <c r="L154" i="1"/>
  <c r="K154" i="1"/>
  <c r="J154" i="1"/>
  <c r="I154" i="1"/>
  <c r="H154" i="1"/>
  <c r="G154" i="1"/>
  <c r="L153" i="1"/>
  <c r="K153" i="1"/>
  <c r="J153" i="1"/>
  <c r="I153" i="1"/>
  <c r="H153" i="1"/>
  <c r="G153" i="1"/>
  <c r="L152" i="1"/>
  <c r="K152" i="1"/>
  <c r="J152" i="1"/>
  <c r="I152" i="1"/>
  <c r="H152" i="1"/>
  <c r="G152" i="1"/>
  <c r="L151" i="1"/>
  <c r="K151" i="1"/>
  <c r="J151" i="1"/>
  <c r="I151" i="1"/>
  <c r="H151" i="1"/>
  <c r="G151" i="1"/>
  <c r="L150" i="1"/>
  <c r="K150" i="1"/>
  <c r="J150" i="1"/>
  <c r="I150" i="1"/>
  <c r="H150" i="1"/>
  <c r="G150" i="1"/>
  <c r="L149" i="1"/>
  <c r="K149" i="1"/>
  <c r="J149" i="1"/>
  <c r="J205" i="1" s="1"/>
  <c r="I149" i="1"/>
  <c r="H149" i="1"/>
  <c r="G149" i="1"/>
  <c r="G205" i="1" s="1"/>
  <c r="L148" i="1"/>
  <c r="K148" i="1"/>
  <c r="J148" i="1"/>
  <c r="I148" i="1"/>
  <c r="H148" i="1"/>
  <c r="H205" i="1" s="1"/>
  <c r="G148" i="1"/>
  <c r="L147" i="1"/>
  <c r="L205" i="1" s="1"/>
  <c r="K147" i="1"/>
  <c r="K205" i="1" s="1"/>
  <c r="J147" i="1"/>
  <c r="I147" i="1"/>
  <c r="I205" i="1" s="1"/>
  <c r="H147" i="1"/>
  <c r="G147" i="1"/>
  <c r="I133" i="1"/>
  <c r="D15" i="21" s="1"/>
  <c r="K131" i="1"/>
  <c r="G131" i="1"/>
  <c r="J129" i="1"/>
  <c r="C12" i="21" s="1"/>
  <c r="I129" i="1"/>
  <c r="D12" i="21" s="1"/>
  <c r="G129" i="1"/>
  <c r="I127" i="1"/>
  <c r="D10" i="21" s="1"/>
  <c r="H126" i="1"/>
  <c r="J125" i="1"/>
  <c r="C8" i="21" s="1"/>
  <c r="H125" i="1"/>
  <c r="G125" i="1"/>
  <c r="K124" i="1"/>
  <c r="I124" i="1"/>
  <c r="D7" i="21" s="1"/>
  <c r="H124" i="1"/>
  <c r="G124" i="1"/>
  <c r="I123" i="1"/>
  <c r="D6" i="21" s="1"/>
  <c r="H123" i="1"/>
  <c r="G123" i="1"/>
  <c r="G109" i="1"/>
  <c r="I107" i="1"/>
  <c r="I49" i="1" s="1"/>
  <c r="G105" i="1"/>
  <c r="K104" i="1"/>
  <c r="K46" i="1" s="1"/>
  <c r="H104" i="1"/>
  <c r="G104" i="1"/>
  <c r="H103" i="1"/>
  <c r="G103" i="1"/>
  <c r="G45" i="1" s="1"/>
  <c r="I102" i="1"/>
  <c r="L97" i="1"/>
  <c r="K97" i="1"/>
  <c r="I97" i="1"/>
  <c r="H97" i="1"/>
  <c r="G97" i="1"/>
  <c r="L96" i="1"/>
  <c r="K96" i="1"/>
  <c r="J96" i="1"/>
  <c r="C19" i="20" s="1"/>
  <c r="I96" i="1"/>
  <c r="H96" i="1"/>
  <c r="G96" i="1"/>
  <c r="L95" i="1"/>
  <c r="J95" i="1"/>
  <c r="C18" i="20" s="1"/>
  <c r="G95" i="1"/>
  <c r="L94" i="1"/>
  <c r="K94" i="1"/>
  <c r="I94" i="1"/>
  <c r="G94" i="1"/>
  <c r="L93" i="1"/>
  <c r="K93" i="1"/>
  <c r="J93" i="1"/>
  <c r="C16" i="20" s="1"/>
  <c r="I93" i="1"/>
  <c r="G93" i="1"/>
  <c r="L92" i="1"/>
  <c r="J92" i="1"/>
  <c r="C15" i="20" s="1"/>
  <c r="H92" i="1"/>
  <c r="G92" i="1"/>
  <c r="I91" i="1"/>
  <c r="H91" i="1"/>
  <c r="L90" i="1"/>
  <c r="K90" i="1"/>
  <c r="J90" i="1"/>
  <c r="I90" i="1"/>
  <c r="H90" i="1"/>
  <c r="G90" i="1"/>
  <c r="L89" i="1"/>
  <c r="K89" i="1"/>
  <c r="J89" i="1"/>
  <c r="C13" i="20" s="1"/>
  <c r="H89" i="1"/>
  <c r="G89" i="1"/>
  <c r="L87" i="1"/>
  <c r="K87" i="1"/>
  <c r="J87" i="1"/>
  <c r="I87" i="1"/>
  <c r="H87" i="1"/>
  <c r="G87" i="1"/>
  <c r="L86" i="1"/>
  <c r="K86" i="1"/>
  <c r="J86" i="1"/>
  <c r="I86" i="1"/>
  <c r="H86" i="1"/>
  <c r="G86" i="1"/>
  <c r="L85" i="1"/>
  <c r="K85" i="1"/>
  <c r="J85" i="1"/>
  <c r="I85" i="1"/>
  <c r="H85" i="1"/>
  <c r="G85" i="1"/>
  <c r="L84" i="1"/>
  <c r="K84" i="1"/>
  <c r="J84" i="1"/>
  <c r="I84" i="1"/>
  <c r="H84" i="1"/>
  <c r="G84" i="1"/>
  <c r="L83" i="1"/>
  <c r="K83" i="1"/>
  <c r="J83" i="1"/>
  <c r="I83" i="1"/>
  <c r="H83" i="1"/>
  <c r="G83" i="1"/>
  <c r="L77" i="1"/>
  <c r="J77" i="1"/>
  <c r="H77" i="1"/>
  <c r="G77" i="1"/>
  <c r="J75" i="1"/>
  <c r="I75" i="1"/>
  <c r="G75" i="1"/>
  <c r="G74" i="1"/>
  <c r="L73" i="1"/>
  <c r="K73" i="1"/>
  <c r="I73" i="1"/>
  <c r="G73" i="1"/>
  <c r="K72" i="1"/>
  <c r="J72" i="1"/>
  <c r="I72" i="1"/>
  <c r="H72" i="1"/>
  <c r="G72" i="1"/>
  <c r="J71" i="1"/>
  <c r="G71" i="1"/>
  <c r="L70" i="1"/>
  <c r="K70" i="1"/>
  <c r="J70" i="1"/>
  <c r="I70" i="1"/>
  <c r="H70" i="1"/>
  <c r="G70" i="1"/>
  <c r="I69" i="1"/>
  <c r="L68" i="1"/>
  <c r="K68" i="1"/>
  <c r="J68" i="1"/>
  <c r="I68" i="1"/>
  <c r="H68" i="1"/>
  <c r="G68" i="1"/>
  <c r="L67" i="1"/>
  <c r="K67" i="1"/>
  <c r="L66" i="1"/>
  <c r="K66" i="1"/>
  <c r="J66" i="1"/>
  <c r="I66" i="1"/>
  <c r="H66" i="1"/>
  <c r="G66" i="1"/>
  <c r="L65" i="1"/>
  <c r="K65" i="1"/>
  <c r="J65" i="1"/>
  <c r="I65" i="1"/>
  <c r="H65" i="1"/>
  <c r="G65" i="1"/>
  <c r="L64" i="1"/>
  <c r="K64" i="1"/>
  <c r="J64" i="1"/>
  <c r="I64" i="1"/>
  <c r="H64" i="1"/>
  <c r="G64" i="1"/>
  <c r="L63" i="1"/>
  <c r="K63" i="1"/>
  <c r="H63" i="1"/>
  <c r="G63" i="1"/>
  <c r="G51" i="1"/>
  <c r="G47" i="1"/>
  <c r="H46" i="1"/>
  <c r="G46" i="1"/>
  <c r="H45" i="1"/>
  <c r="I44" i="1"/>
  <c r="L43" i="1"/>
  <c r="I43" i="1"/>
  <c r="L38" i="1"/>
  <c r="K38" i="1"/>
  <c r="J38" i="1"/>
  <c r="I38" i="1"/>
  <c r="H38" i="1"/>
  <c r="G38" i="1"/>
  <c r="L36" i="1"/>
  <c r="K36" i="1"/>
  <c r="J36" i="1"/>
  <c r="I36" i="1"/>
  <c r="H36" i="1"/>
  <c r="G36" i="1"/>
  <c r="L35" i="1"/>
  <c r="K35" i="1"/>
  <c r="J35" i="1"/>
  <c r="I35" i="1"/>
  <c r="H35" i="1"/>
  <c r="G35" i="1"/>
  <c r="L34" i="1"/>
  <c r="K34" i="1"/>
  <c r="J34" i="1"/>
  <c r="I34" i="1"/>
  <c r="H34" i="1"/>
  <c r="G34" i="1"/>
  <c r="L33" i="1"/>
  <c r="K33" i="1"/>
  <c r="J33" i="1"/>
  <c r="I33" i="1"/>
  <c r="H33" i="1"/>
  <c r="G33" i="1"/>
  <c r="L32" i="1"/>
  <c r="K32" i="1"/>
  <c r="J32" i="1"/>
  <c r="I32" i="1"/>
  <c r="H32" i="1"/>
  <c r="G32" i="1"/>
  <c r="L31" i="1"/>
  <c r="K31" i="1"/>
  <c r="J31" i="1"/>
  <c r="I31" i="1"/>
  <c r="H31" i="1"/>
  <c r="G31" i="1"/>
  <c r="L30" i="1"/>
  <c r="K30" i="1"/>
  <c r="J30" i="1"/>
  <c r="I30" i="1"/>
  <c r="H30" i="1"/>
  <c r="G30" i="1"/>
  <c r="L29" i="1"/>
  <c r="E5" i="22" s="1"/>
  <c r="K29" i="1"/>
  <c r="D5" i="22" s="1"/>
  <c r="J29" i="1"/>
  <c r="I29" i="1"/>
  <c r="H29" i="1"/>
  <c r="G29" i="1"/>
  <c r="L28" i="1"/>
  <c r="L37" i="1" s="1"/>
  <c r="K28" i="1"/>
  <c r="J28" i="1"/>
  <c r="I28" i="1"/>
  <c r="H28" i="1"/>
  <c r="G28" i="1"/>
  <c r="L27" i="1"/>
  <c r="K27" i="1"/>
  <c r="J27" i="1"/>
  <c r="I27" i="1"/>
  <c r="H27" i="1"/>
  <c r="G27" i="1"/>
  <c r="L26" i="1"/>
  <c r="K26" i="1"/>
  <c r="D4" i="22" s="1"/>
  <c r="J26" i="1"/>
  <c r="I26" i="1"/>
  <c r="H26" i="1"/>
  <c r="H37" i="1" s="1"/>
  <c r="G26" i="1"/>
  <c r="G37" i="1" s="1"/>
  <c r="L25" i="1"/>
  <c r="L101" i="1" s="1"/>
  <c r="K25" i="1"/>
  <c r="K208" i="1" s="1"/>
  <c r="I25" i="1"/>
  <c r="I429" i="1" s="1"/>
  <c r="I14" i="1"/>
  <c r="K13" i="1"/>
  <c r="K12" i="1"/>
  <c r="G12" i="1"/>
  <c r="G11" i="1"/>
  <c r="G10" i="1"/>
  <c r="L6" i="1"/>
  <c r="K6" i="1"/>
  <c r="J6" i="1"/>
  <c r="I6" i="1"/>
  <c r="H6" i="1"/>
  <c r="G6" i="1"/>
  <c r="L477" i="1"/>
  <c r="K477" i="1"/>
  <c r="J477" i="1"/>
  <c r="I477" i="1"/>
  <c r="H477" i="1"/>
  <c r="G477" i="1"/>
  <c r="H39" i="1" l="1"/>
  <c r="H5" i="1"/>
  <c r="L39" i="1"/>
  <c r="L5" i="1"/>
  <c r="G39" i="1"/>
  <c r="G5" i="1"/>
  <c r="J43" i="1"/>
  <c r="K43" i="1"/>
  <c r="I121" i="1"/>
  <c r="D4" i="21" s="1"/>
  <c r="K140" i="1"/>
  <c r="K430" i="1"/>
  <c r="I433" i="1"/>
  <c r="I10" i="1" s="1"/>
  <c r="G436" i="1"/>
  <c r="K438" i="1"/>
  <c r="I441" i="1"/>
  <c r="G444" i="1"/>
  <c r="I447" i="1"/>
  <c r="G451" i="1"/>
  <c r="K454" i="1"/>
  <c r="G458" i="1"/>
  <c r="G462" i="1"/>
  <c r="K472" i="1"/>
  <c r="E34" i="2"/>
  <c r="G122" i="1" s="1"/>
  <c r="H351" i="1"/>
  <c r="F32" i="2"/>
  <c r="J289" i="2"/>
  <c r="J41" i="2" s="1"/>
  <c r="I301" i="2"/>
  <c r="F305" i="2"/>
  <c r="I324" i="2"/>
  <c r="E346" i="2"/>
  <c r="G35" i="4"/>
  <c r="K458" i="1"/>
  <c r="I463" i="1"/>
  <c r="H28" i="2"/>
  <c r="J63" i="1" s="1"/>
  <c r="G307" i="2"/>
  <c r="G327" i="2"/>
  <c r="I208" i="1"/>
  <c r="G25" i="1"/>
  <c r="B4" i="22"/>
  <c r="I81" i="1"/>
  <c r="I101" i="1"/>
  <c r="K121" i="1"/>
  <c r="I431" i="1"/>
  <c r="I11" i="1" s="1"/>
  <c r="G434" i="1"/>
  <c r="G13" i="1" s="1"/>
  <c r="K436" i="1"/>
  <c r="K14" i="1" s="1"/>
  <c r="I439" i="1"/>
  <c r="G442" i="1"/>
  <c r="K444" i="1"/>
  <c r="I448" i="1"/>
  <c r="G452" i="1"/>
  <c r="I455" i="1"/>
  <c r="G459" i="1"/>
  <c r="K464" i="1"/>
  <c r="J306" i="2"/>
  <c r="J70" i="2"/>
  <c r="J77" i="2" s="1"/>
  <c r="L432" i="1"/>
  <c r="L12" i="1" s="1"/>
  <c r="F34" i="2"/>
  <c r="H122" i="1" s="1"/>
  <c r="I271" i="2"/>
  <c r="I283" i="2"/>
  <c r="I40" i="2" s="1"/>
  <c r="G309" i="2"/>
  <c r="E330" i="2"/>
  <c r="H38" i="3"/>
  <c r="E83" i="6"/>
  <c r="E339" i="6"/>
  <c r="L140" i="1"/>
  <c r="H25" i="1"/>
  <c r="C4" i="22"/>
  <c r="L121" i="1"/>
  <c r="K431" i="1"/>
  <c r="K11" i="1" s="1"/>
  <c r="I434" i="1"/>
  <c r="I13" i="1" s="1"/>
  <c r="G437" i="1"/>
  <c r="K439" i="1"/>
  <c r="I442" i="1"/>
  <c r="I445" i="1"/>
  <c r="K448" i="1"/>
  <c r="I452" i="1"/>
  <c r="G456" i="1"/>
  <c r="I459" i="1"/>
  <c r="G466" i="1"/>
  <c r="E43" i="2"/>
  <c r="G34" i="2"/>
  <c r="I122" i="1" s="1"/>
  <c r="E295" i="2"/>
  <c r="E42" i="2" s="1"/>
  <c r="I311" i="2"/>
  <c r="I332" i="2"/>
  <c r="I490" i="8"/>
  <c r="I89" i="8"/>
  <c r="I103" i="8" s="1"/>
  <c r="I24" i="16"/>
  <c r="I26" i="15"/>
  <c r="I25" i="14"/>
  <c r="I37" i="13"/>
  <c r="I24" i="12"/>
  <c r="I23" i="10"/>
  <c r="I32" i="11"/>
  <c r="I23" i="9"/>
  <c r="I19" i="7"/>
  <c r="I34" i="8"/>
  <c r="I19" i="6"/>
  <c r="I19" i="4"/>
  <c r="I22" i="5"/>
  <c r="I23" i="2"/>
  <c r="I22" i="3"/>
  <c r="B5" i="22"/>
  <c r="G43" i="1"/>
  <c r="I62" i="1"/>
  <c r="K81" i="1"/>
  <c r="K101" i="1"/>
  <c r="L208" i="1"/>
  <c r="I349" i="1"/>
  <c r="D4" i="23" s="1"/>
  <c r="D20" i="23" s="1"/>
  <c r="D11" i="23"/>
  <c r="I456" i="1"/>
  <c r="G460" i="1"/>
  <c r="I467" i="1"/>
  <c r="I308" i="2"/>
  <c r="F347" i="2"/>
  <c r="E314" i="2"/>
  <c r="G335" i="2"/>
  <c r="J28" i="3"/>
  <c r="J29" i="3" s="1"/>
  <c r="L123" i="1" s="1"/>
  <c r="L353" i="1"/>
  <c r="J43" i="23" s="1"/>
  <c r="G24" i="16"/>
  <c r="G25" i="14"/>
  <c r="G26" i="15"/>
  <c r="G37" i="13"/>
  <c r="G24" i="12"/>
  <c r="G32" i="11"/>
  <c r="G23" i="10"/>
  <c r="G23" i="9"/>
  <c r="G34" i="8"/>
  <c r="G19" i="6"/>
  <c r="G22" i="5"/>
  <c r="G22" i="3"/>
  <c r="G19" i="7"/>
  <c r="G19" i="4"/>
  <c r="G23" i="2"/>
  <c r="I37" i="1"/>
  <c r="J25" i="1"/>
  <c r="E4" i="22"/>
  <c r="C5" i="22"/>
  <c r="J37" i="1"/>
  <c r="H43" i="1"/>
  <c r="L81" i="1"/>
  <c r="K429" i="1"/>
  <c r="I432" i="1"/>
  <c r="I12" i="1" s="1"/>
  <c r="G435" i="1"/>
  <c r="K437" i="1"/>
  <c r="I440" i="1"/>
  <c r="G443" i="1"/>
  <c r="G446" i="1"/>
  <c r="K449" i="1"/>
  <c r="I453" i="1"/>
  <c r="K456" i="1"/>
  <c r="I460" i="1"/>
  <c r="K468" i="1"/>
  <c r="J556" i="1"/>
  <c r="I157" i="2"/>
  <c r="H287" i="2"/>
  <c r="H141" i="2"/>
  <c r="H157" i="2" s="1"/>
  <c r="I295" i="2"/>
  <c r="I42" i="2" s="1"/>
  <c r="I316" i="2"/>
  <c r="E338" i="2"/>
  <c r="E356" i="6"/>
  <c r="F354" i="6"/>
  <c r="G395" i="6"/>
  <c r="F393" i="6"/>
  <c r="J390" i="6"/>
  <c r="J388" i="6"/>
  <c r="I386" i="6"/>
  <c r="I384" i="6"/>
  <c r="H382" i="6"/>
  <c r="F380" i="6"/>
  <c r="F378" i="6"/>
  <c r="E376" i="6"/>
  <c r="E374" i="6"/>
  <c r="J371" i="6"/>
  <c r="J383" i="6"/>
  <c r="F369" i="6"/>
  <c r="E362" i="6"/>
  <c r="J354" i="6"/>
  <c r="H381" i="6"/>
  <c r="E368" i="6"/>
  <c r="J360" i="6"/>
  <c r="H379" i="6"/>
  <c r="G367" i="6"/>
  <c r="F360" i="6"/>
  <c r="H394" i="6"/>
  <c r="G377" i="6"/>
  <c r="F366" i="6"/>
  <c r="F359" i="6"/>
  <c r="F392" i="6"/>
  <c r="G375" i="6"/>
  <c r="H365" i="6"/>
  <c r="F390" i="6"/>
  <c r="F373" i="6"/>
  <c r="H364" i="6"/>
  <c r="G357" i="6"/>
  <c r="E388" i="6"/>
  <c r="J370" i="6"/>
  <c r="J363" i="6"/>
  <c r="I356" i="6"/>
  <c r="I362" i="6"/>
  <c r="K37" i="1"/>
  <c r="K62" i="1"/>
  <c r="I140" i="1"/>
  <c r="K349" i="1"/>
  <c r="H4" i="23" s="1"/>
  <c r="H20" i="23" s="1"/>
  <c r="K460" i="1"/>
  <c r="G470" i="1"/>
  <c r="H77" i="2"/>
  <c r="E91" i="2"/>
  <c r="H223" i="2"/>
  <c r="H230" i="2" s="1"/>
  <c r="H277" i="2"/>
  <c r="H278" i="2" s="1"/>
  <c r="H39" i="2" s="1"/>
  <c r="H412" i="1" s="1"/>
  <c r="G319" i="2"/>
  <c r="H62" i="4"/>
  <c r="H70" i="4" s="1"/>
  <c r="H136" i="4"/>
  <c r="H111" i="4"/>
  <c r="H112" i="4" s="1"/>
  <c r="H30" i="4" s="1"/>
  <c r="J119" i="4"/>
  <c r="J120" i="4" s="1"/>
  <c r="J32" i="4" s="1"/>
  <c r="J139" i="4"/>
  <c r="J62" i="4"/>
  <c r="J70" i="4" s="1"/>
  <c r="H316" i="6"/>
  <c r="H319" i="6" s="1"/>
  <c r="H36" i="6" s="1"/>
  <c r="H135" i="6"/>
  <c r="H147" i="6" s="1"/>
  <c r="J357" i="6"/>
  <c r="J328" i="6"/>
  <c r="J331" i="6" s="1"/>
  <c r="J38" i="6" s="1"/>
  <c r="J24" i="16"/>
  <c r="J26" i="15"/>
  <c r="J37" i="13"/>
  <c r="J32" i="11"/>
  <c r="J25" i="14"/>
  <c r="J23" i="10"/>
  <c r="J24" i="12"/>
  <c r="J23" i="9"/>
  <c r="J34" i="8"/>
  <c r="J19" i="7"/>
  <c r="J19" i="6"/>
  <c r="J22" i="5"/>
  <c r="L429" i="1"/>
  <c r="J23" i="2"/>
  <c r="L349" i="1"/>
  <c r="J4" i="23" s="1"/>
  <c r="J20" i="23" s="1"/>
  <c r="J19" i="4"/>
  <c r="J22" i="3"/>
  <c r="L62" i="1"/>
  <c r="J329" i="2"/>
  <c r="F327" i="2"/>
  <c r="H324" i="2"/>
  <c r="J321" i="2"/>
  <c r="F319" i="2"/>
  <c r="H316" i="2"/>
  <c r="J313" i="2"/>
  <c r="G311" i="2"/>
  <c r="F309" i="2"/>
  <c r="F307" i="2"/>
  <c r="E305" i="2"/>
  <c r="L473" i="1"/>
  <c r="J472" i="1"/>
  <c r="H471" i="1"/>
  <c r="L469" i="1"/>
  <c r="J468" i="1"/>
  <c r="H467" i="1"/>
  <c r="L465" i="1"/>
  <c r="J464" i="1"/>
  <c r="H463" i="1"/>
  <c r="L461" i="1"/>
  <c r="J460" i="1"/>
  <c r="H459" i="1"/>
  <c r="L457" i="1"/>
  <c r="J456" i="1"/>
  <c r="H455" i="1"/>
  <c r="L453" i="1"/>
  <c r="J452" i="1"/>
  <c r="H451" i="1"/>
  <c r="L449" i="1"/>
  <c r="J448" i="1"/>
  <c r="H447" i="1"/>
  <c r="L445" i="1"/>
  <c r="J444" i="1"/>
  <c r="H443" i="1"/>
  <c r="L441" i="1"/>
  <c r="J440" i="1"/>
  <c r="H439" i="1"/>
  <c r="L437" i="1"/>
  <c r="J436" i="1"/>
  <c r="H435" i="1"/>
  <c r="L433" i="1"/>
  <c r="J432" i="1"/>
  <c r="J12" i="1" s="1"/>
  <c r="H431" i="1"/>
  <c r="H11" i="1" s="1"/>
  <c r="G345" i="2"/>
  <c r="I342" i="2"/>
  <c r="E340" i="2"/>
  <c r="G337" i="2"/>
  <c r="I334" i="2"/>
  <c r="E332" i="2"/>
  <c r="G329" i="2"/>
  <c r="I326" i="2"/>
  <c r="E324" i="2"/>
  <c r="G321" i="2"/>
  <c r="I318" i="2"/>
  <c r="E316" i="2"/>
  <c r="G313" i="2"/>
  <c r="F311" i="2"/>
  <c r="E309" i="2"/>
  <c r="I306" i="2"/>
  <c r="K473" i="1"/>
  <c r="I472" i="1"/>
  <c r="G471" i="1"/>
  <c r="K469" i="1"/>
  <c r="I468" i="1"/>
  <c r="G467" i="1"/>
  <c r="K465" i="1"/>
  <c r="I464" i="1"/>
  <c r="G463" i="1"/>
  <c r="K461" i="1"/>
  <c r="J473" i="1"/>
  <c r="H472" i="1"/>
  <c r="L470" i="1"/>
  <c r="J469" i="1"/>
  <c r="H468" i="1"/>
  <c r="L466" i="1"/>
  <c r="J465" i="1"/>
  <c r="H464" i="1"/>
  <c r="L462" i="1"/>
  <c r="J461" i="1"/>
  <c r="H460" i="1"/>
  <c r="L458" i="1"/>
  <c r="J457" i="1"/>
  <c r="H456" i="1"/>
  <c r="L454" i="1"/>
  <c r="J453" i="1"/>
  <c r="H452" i="1"/>
  <c r="L450" i="1"/>
  <c r="J449" i="1"/>
  <c r="H448" i="1"/>
  <c r="L446" i="1"/>
  <c r="J445" i="1"/>
  <c r="H444" i="1"/>
  <c r="L442" i="1"/>
  <c r="J441" i="1"/>
  <c r="H440" i="1"/>
  <c r="L438" i="1"/>
  <c r="J437" i="1"/>
  <c r="H436" i="1"/>
  <c r="L434" i="1"/>
  <c r="L13" i="1" s="1"/>
  <c r="J433" i="1"/>
  <c r="H432" i="1"/>
  <c r="H12" i="1" s="1"/>
  <c r="L430" i="1"/>
  <c r="G347" i="2"/>
  <c r="I344" i="2"/>
  <c r="E342" i="2"/>
  <c r="G339" i="2"/>
  <c r="I336" i="2"/>
  <c r="E334" i="2"/>
  <c r="G331" i="2"/>
  <c r="I328" i="2"/>
  <c r="E326" i="2"/>
  <c r="G323" i="2"/>
  <c r="I320" i="2"/>
  <c r="E318" i="2"/>
  <c r="G315" i="2"/>
  <c r="I312" i="2"/>
  <c r="H310" i="2"/>
  <c r="H308" i="2"/>
  <c r="G306" i="2"/>
  <c r="I473" i="1"/>
  <c r="G472" i="1"/>
  <c r="K470" i="1"/>
  <c r="I469" i="1"/>
  <c r="G468" i="1"/>
  <c r="K466" i="1"/>
  <c r="I465" i="1"/>
  <c r="G464" i="1"/>
  <c r="K462" i="1"/>
  <c r="J333" i="2"/>
  <c r="F331" i="2"/>
  <c r="H328" i="2"/>
  <c r="J325" i="2"/>
  <c r="F323" i="2"/>
  <c r="H320" i="2"/>
  <c r="J317" i="2"/>
  <c r="F315" i="2"/>
  <c r="H312" i="2"/>
  <c r="G310" i="2"/>
  <c r="E308" i="2"/>
  <c r="E306" i="2"/>
  <c r="H473" i="1"/>
  <c r="L471" i="1"/>
  <c r="J470" i="1"/>
  <c r="H469" i="1"/>
  <c r="L467" i="1"/>
  <c r="J466" i="1"/>
  <c r="H465" i="1"/>
  <c r="L463" i="1"/>
  <c r="J462" i="1"/>
  <c r="H461" i="1"/>
  <c r="L459" i="1"/>
  <c r="J458" i="1"/>
  <c r="H457" i="1"/>
  <c r="L455" i="1"/>
  <c r="J454" i="1"/>
  <c r="H453" i="1"/>
  <c r="L451" i="1"/>
  <c r="J450" i="1"/>
  <c r="H449" i="1"/>
  <c r="L447" i="1"/>
  <c r="J446" i="1"/>
  <c r="H445" i="1"/>
  <c r="L443" i="1"/>
  <c r="J442" i="1"/>
  <c r="H441" i="1"/>
  <c r="L439" i="1"/>
  <c r="J438" i="1"/>
  <c r="H437" i="1"/>
  <c r="L435" i="1"/>
  <c r="J434" i="1"/>
  <c r="J13" i="1" s="1"/>
  <c r="H433" i="1"/>
  <c r="L431" i="1"/>
  <c r="L11" i="1" s="1"/>
  <c r="J430" i="1"/>
  <c r="I346" i="2"/>
  <c r="E344" i="2"/>
  <c r="G341" i="2"/>
  <c r="I338" i="2"/>
  <c r="E336" i="2"/>
  <c r="G333" i="2"/>
  <c r="I330" i="2"/>
  <c r="E328" i="2"/>
  <c r="G325" i="2"/>
  <c r="I322" i="2"/>
  <c r="E320" i="2"/>
  <c r="G317" i="2"/>
  <c r="I314" i="2"/>
  <c r="E312" i="2"/>
  <c r="E310" i="2"/>
  <c r="J307" i="2"/>
  <c r="J305" i="2"/>
  <c r="G473" i="1"/>
  <c r="K471" i="1"/>
  <c r="I470" i="1"/>
  <c r="G469" i="1"/>
  <c r="K467" i="1"/>
  <c r="I466" i="1"/>
  <c r="G465" i="1"/>
  <c r="K463" i="1"/>
  <c r="I462" i="1"/>
  <c r="G461" i="1"/>
  <c r="K459" i="1"/>
  <c r="I458" i="1"/>
  <c r="G457" i="1"/>
  <c r="K455" i="1"/>
  <c r="I454" i="1"/>
  <c r="G453" i="1"/>
  <c r="K451" i="1"/>
  <c r="I450" i="1"/>
  <c r="G449" i="1"/>
  <c r="K447" i="1"/>
  <c r="I446" i="1"/>
  <c r="G445" i="1"/>
  <c r="J311" i="2"/>
  <c r="J309" i="2"/>
  <c r="I307" i="2"/>
  <c r="G305" i="2"/>
  <c r="L472" i="1"/>
  <c r="J471" i="1"/>
  <c r="H470" i="1"/>
  <c r="L468" i="1"/>
  <c r="J467" i="1"/>
  <c r="H466" i="1"/>
  <c r="L464" i="1"/>
  <c r="J463" i="1"/>
  <c r="H462" i="1"/>
  <c r="L460" i="1"/>
  <c r="J459" i="1"/>
  <c r="H458" i="1"/>
  <c r="L456" i="1"/>
  <c r="J455" i="1"/>
  <c r="H454" i="1"/>
  <c r="L452" i="1"/>
  <c r="J451" i="1"/>
  <c r="H450" i="1"/>
  <c r="L448" i="1"/>
  <c r="J447" i="1"/>
  <c r="H446" i="1"/>
  <c r="L444" i="1"/>
  <c r="J443" i="1"/>
  <c r="H442" i="1"/>
  <c r="L440" i="1"/>
  <c r="J439" i="1"/>
  <c r="H438" i="1"/>
  <c r="L436" i="1"/>
  <c r="J435" i="1"/>
  <c r="J14" i="1" s="1"/>
  <c r="H434" i="1"/>
  <c r="H13" i="1" s="1"/>
  <c r="J431" i="1"/>
  <c r="J11" i="1" s="1"/>
  <c r="H430" i="1"/>
  <c r="E322" i="2"/>
  <c r="G343" i="2"/>
  <c r="E386" i="6"/>
  <c r="I483" i="1"/>
  <c r="J259" i="2"/>
  <c r="F301" i="2"/>
  <c r="G314" i="2"/>
  <c r="E317" i="2"/>
  <c r="I319" i="2"/>
  <c r="G322" i="2"/>
  <c r="E325" i="2"/>
  <c r="I327" i="2"/>
  <c r="G330" i="2"/>
  <c r="E333" i="2"/>
  <c r="I335" i="2"/>
  <c r="G338" i="2"/>
  <c r="E341" i="2"/>
  <c r="I343" i="2"/>
  <c r="G346" i="2"/>
  <c r="I64" i="3"/>
  <c r="I77" i="3" s="1"/>
  <c r="H146" i="3"/>
  <c r="F149" i="3"/>
  <c r="J151" i="3"/>
  <c r="H154" i="3"/>
  <c r="F157" i="3"/>
  <c r="J159" i="3"/>
  <c r="H162" i="3"/>
  <c r="F165" i="3"/>
  <c r="J167" i="3"/>
  <c r="H170" i="3"/>
  <c r="F173" i="3"/>
  <c r="J175" i="3"/>
  <c r="H178" i="3"/>
  <c r="F181" i="3"/>
  <c r="J183" i="3"/>
  <c r="H186" i="3"/>
  <c r="J188" i="5"/>
  <c r="H187" i="5"/>
  <c r="F186" i="5"/>
  <c r="J184" i="5"/>
  <c r="H183" i="5"/>
  <c r="F182" i="5"/>
  <c r="J180" i="5"/>
  <c r="H179" i="5"/>
  <c r="F178" i="5"/>
  <c r="J176" i="5"/>
  <c r="H175" i="5"/>
  <c r="F174" i="5"/>
  <c r="J172" i="5"/>
  <c r="H171" i="5"/>
  <c r="F188" i="5"/>
  <c r="I188" i="5"/>
  <c r="E187" i="5"/>
  <c r="H185" i="5"/>
  <c r="E184" i="5"/>
  <c r="H182" i="5"/>
  <c r="E181" i="5"/>
  <c r="G179" i="5"/>
  <c r="J177" i="5"/>
  <c r="G176" i="5"/>
  <c r="J174" i="5"/>
  <c r="G173" i="5"/>
  <c r="J171" i="5"/>
  <c r="G170" i="5"/>
  <c r="E169" i="5"/>
  <c r="I167" i="5"/>
  <c r="G166" i="5"/>
  <c r="E165" i="5"/>
  <c r="I163" i="5"/>
  <c r="G162" i="5"/>
  <c r="E161" i="5"/>
  <c r="I159" i="5"/>
  <c r="G158" i="5"/>
  <c r="E157" i="5"/>
  <c r="I155" i="5"/>
  <c r="G154" i="5"/>
  <c r="E153" i="5"/>
  <c r="I151" i="5"/>
  <c r="G150" i="5"/>
  <c r="E149" i="5"/>
  <c r="H188" i="5"/>
  <c r="J186" i="5"/>
  <c r="G185" i="5"/>
  <c r="J183" i="5"/>
  <c r="G182" i="5"/>
  <c r="I180" i="5"/>
  <c r="F179" i="5"/>
  <c r="I177" i="5"/>
  <c r="F176" i="5"/>
  <c r="I174" i="5"/>
  <c r="F173" i="5"/>
  <c r="I171" i="5"/>
  <c r="F170" i="5"/>
  <c r="J168" i="5"/>
  <c r="H167" i="5"/>
  <c r="F166" i="5"/>
  <c r="J164" i="5"/>
  <c r="H163" i="5"/>
  <c r="F162" i="5"/>
  <c r="J160" i="5"/>
  <c r="H159" i="5"/>
  <c r="F158" i="5"/>
  <c r="J156" i="5"/>
  <c r="H155" i="5"/>
  <c r="F154" i="5"/>
  <c r="J152" i="5"/>
  <c r="F150" i="5"/>
  <c r="G188" i="5"/>
  <c r="I186" i="5"/>
  <c r="F185" i="5"/>
  <c r="I183" i="5"/>
  <c r="E182" i="5"/>
  <c r="H180" i="5"/>
  <c r="E179" i="5"/>
  <c r="H177" i="5"/>
  <c r="E176" i="5"/>
  <c r="H174" i="5"/>
  <c r="E173" i="5"/>
  <c r="G171" i="5"/>
  <c r="E170" i="5"/>
  <c r="I168" i="5"/>
  <c r="G167" i="5"/>
  <c r="E166" i="5"/>
  <c r="I164" i="5"/>
  <c r="G163" i="5"/>
  <c r="E162" i="5"/>
  <c r="I160" i="5"/>
  <c r="G159" i="5"/>
  <c r="E158" i="5"/>
  <c r="I156" i="5"/>
  <c r="G155" i="5"/>
  <c r="E154" i="5"/>
  <c r="I152" i="5"/>
  <c r="G151" i="5"/>
  <c r="E150" i="5"/>
  <c r="G147" i="5"/>
  <c r="E188" i="5"/>
  <c r="H186" i="5"/>
  <c r="E185" i="5"/>
  <c r="G183" i="5"/>
  <c r="J181" i="5"/>
  <c r="G180" i="5"/>
  <c r="J178" i="5"/>
  <c r="G177" i="5"/>
  <c r="J175" i="5"/>
  <c r="G174" i="5"/>
  <c r="I172" i="5"/>
  <c r="F171" i="5"/>
  <c r="J169" i="5"/>
  <c r="H168" i="5"/>
  <c r="F167" i="5"/>
  <c r="J165" i="5"/>
  <c r="H164" i="5"/>
  <c r="F163" i="5"/>
  <c r="J161" i="5"/>
  <c r="H160" i="5"/>
  <c r="F159" i="5"/>
  <c r="J157" i="5"/>
  <c r="H156" i="5"/>
  <c r="F155" i="5"/>
  <c r="J153" i="5"/>
  <c r="H152" i="5"/>
  <c r="F151" i="5"/>
  <c r="J149" i="5"/>
  <c r="J189" i="5" s="1"/>
  <c r="H148" i="5"/>
  <c r="F147" i="5"/>
  <c r="I187" i="5"/>
  <c r="E186" i="5"/>
  <c r="H184" i="5"/>
  <c r="E183" i="5"/>
  <c r="H181" i="5"/>
  <c r="E180" i="5"/>
  <c r="H178" i="5"/>
  <c r="E177" i="5"/>
  <c r="G175" i="5"/>
  <c r="J173" i="5"/>
  <c r="G172" i="5"/>
  <c r="J170" i="5"/>
  <c r="H169" i="5"/>
  <c r="F168" i="5"/>
  <c r="J166" i="5"/>
  <c r="H165" i="5"/>
  <c r="F164" i="5"/>
  <c r="J162" i="5"/>
  <c r="H161" i="5"/>
  <c r="F160" i="5"/>
  <c r="J158" i="5"/>
  <c r="H157" i="5"/>
  <c r="F156" i="5"/>
  <c r="J154" i="5"/>
  <c r="H153" i="5"/>
  <c r="F152" i="5"/>
  <c r="H149" i="5"/>
  <c r="F148" i="5"/>
  <c r="G187" i="5"/>
  <c r="J185" i="5"/>
  <c r="G184" i="5"/>
  <c r="J182" i="5"/>
  <c r="G181" i="5"/>
  <c r="J179" i="5"/>
  <c r="G178" i="5"/>
  <c r="I176" i="5"/>
  <c r="F175" i="5"/>
  <c r="I173" i="5"/>
  <c r="F172" i="5"/>
  <c r="I170" i="5"/>
  <c r="G169" i="5"/>
  <c r="E168" i="5"/>
  <c r="I166" i="5"/>
  <c r="G165" i="5"/>
  <c r="E164" i="5"/>
  <c r="I162" i="5"/>
  <c r="G161" i="5"/>
  <c r="E160" i="5"/>
  <c r="I158" i="5"/>
  <c r="G157" i="5"/>
  <c r="E156" i="5"/>
  <c r="I154" i="5"/>
  <c r="G153" i="5"/>
  <c r="E152" i="5"/>
  <c r="G149" i="5"/>
  <c r="E148" i="5"/>
  <c r="J96" i="5"/>
  <c r="J38" i="5"/>
  <c r="E151" i="5"/>
  <c r="G156" i="5"/>
  <c r="I161" i="5"/>
  <c r="E167" i="5"/>
  <c r="H172" i="5"/>
  <c r="I178" i="5"/>
  <c r="I184" i="5"/>
  <c r="H83" i="6"/>
  <c r="J358" i="6"/>
  <c r="E25" i="6"/>
  <c r="G67" i="1" s="1"/>
  <c r="G78" i="1" s="1"/>
  <c r="G7" i="1" s="1"/>
  <c r="I265" i="6"/>
  <c r="I278" i="6" s="1"/>
  <c r="I324" i="6"/>
  <c r="I325" i="6" s="1"/>
  <c r="I37" i="6" s="1"/>
  <c r="I41" i="6" s="1"/>
  <c r="E278" i="6"/>
  <c r="J502" i="8"/>
  <c r="J375" i="8"/>
  <c r="J387" i="8" s="1"/>
  <c r="J563" i="8"/>
  <c r="I270" i="2"/>
  <c r="I273" i="2" s="1"/>
  <c r="I38" i="2" s="1"/>
  <c r="I43" i="2" s="1"/>
  <c r="F283" i="2"/>
  <c r="F40" i="2" s="1"/>
  <c r="I146" i="3"/>
  <c r="G149" i="3"/>
  <c r="E152" i="3"/>
  <c r="I154" i="3"/>
  <c r="G157" i="3"/>
  <c r="E160" i="3"/>
  <c r="I162" i="3"/>
  <c r="G165" i="3"/>
  <c r="E168" i="3"/>
  <c r="I170" i="3"/>
  <c r="G173" i="3"/>
  <c r="E176" i="3"/>
  <c r="I178" i="3"/>
  <c r="G181" i="3"/>
  <c r="E184" i="3"/>
  <c r="I186" i="3"/>
  <c r="G38" i="5"/>
  <c r="J151" i="5"/>
  <c r="F157" i="5"/>
  <c r="H162" i="5"/>
  <c r="J167" i="5"/>
  <c r="H173" i="5"/>
  <c r="I179" i="5"/>
  <c r="I185" i="5"/>
  <c r="F25" i="6"/>
  <c r="H67" i="1" s="1"/>
  <c r="H78" i="1" s="1"/>
  <c r="H7" i="1" s="1"/>
  <c r="F343" i="6"/>
  <c r="F40" i="6" s="1"/>
  <c r="E571" i="8"/>
  <c r="J494" i="1"/>
  <c r="H305" i="2"/>
  <c r="H270" i="2"/>
  <c r="H273" i="2" s="1"/>
  <c r="H38" i="2" s="1"/>
  <c r="J308" i="2"/>
  <c r="H336" i="2"/>
  <c r="F339" i="2"/>
  <c r="J341" i="2"/>
  <c r="H344" i="2"/>
  <c r="H147" i="3"/>
  <c r="E147" i="3"/>
  <c r="E188" i="3" s="1"/>
  <c r="G152" i="3"/>
  <c r="E155" i="3"/>
  <c r="I157" i="3"/>
  <c r="G160" i="3"/>
  <c r="E163" i="3"/>
  <c r="I165" i="3"/>
  <c r="G168" i="3"/>
  <c r="E171" i="3"/>
  <c r="I173" i="3"/>
  <c r="G176" i="3"/>
  <c r="E179" i="3"/>
  <c r="I181" i="3"/>
  <c r="G184" i="3"/>
  <c r="J140" i="4"/>
  <c r="J123" i="4"/>
  <c r="J124" i="4" s="1"/>
  <c r="J33" i="4" s="1"/>
  <c r="I148" i="5"/>
  <c r="I189" i="5" s="1"/>
  <c r="E147" i="5"/>
  <c r="G152" i="5"/>
  <c r="I157" i="5"/>
  <c r="E163" i="5"/>
  <c r="G168" i="5"/>
  <c r="E174" i="5"/>
  <c r="F180" i="5"/>
  <c r="G186" i="5"/>
  <c r="H25" i="6"/>
  <c r="J67" i="1" s="1"/>
  <c r="J355" i="6"/>
  <c r="F325" i="6"/>
  <c r="F37" i="6" s="1"/>
  <c r="F41" i="6" s="1"/>
  <c r="H499" i="8"/>
  <c r="H504" i="8" s="1"/>
  <c r="H56" i="8" s="1"/>
  <c r="H418" i="1" s="1"/>
  <c r="H174" i="8"/>
  <c r="J174" i="8"/>
  <c r="J184" i="8" s="1"/>
  <c r="J516" i="8"/>
  <c r="J521" i="8" s="1"/>
  <c r="J58" i="8" s="1"/>
  <c r="I305" i="2"/>
  <c r="H309" i="2"/>
  <c r="H286" i="2"/>
  <c r="H289" i="2" s="1"/>
  <c r="H41" i="2" s="1"/>
  <c r="J412" i="1" s="1"/>
  <c r="I187" i="3"/>
  <c r="G186" i="3"/>
  <c r="E185" i="3"/>
  <c r="I183" i="3"/>
  <c r="G182" i="3"/>
  <c r="E181" i="3"/>
  <c r="I179" i="3"/>
  <c r="G178" i="3"/>
  <c r="E177" i="3"/>
  <c r="I175" i="3"/>
  <c r="G174" i="3"/>
  <c r="E173" i="3"/>
  <c r="I171" i="3"/>
  <c r="G170" i="3"/>
  <c r="E169" i="3"/>
  <c r="I167" i="3"/>
  <c r="G166" i="3"/>
  <c r="E165" i="3"/>
  <c r="I163" i="3"/>
  <c r="G162" i="3"/>
  <c r="E161" i="3"/>
  <c r="I159" i="3"/>
  <c r="G158" i="3"/>
  <c r="E157" i="3"/>
  <c r="I155" i="3"/>
  <c r="G154" i="3"/>
  <c r="E153" i="3"/>
  <c r="I151" i="3"/>
  <c r="G150" i="3"/>
  <c r="E149" i="3"/>
  <c r="G146" i="3"/>
  <c r="H187" i="3"/>
  <c r="F186" i="3"/>
  <c r="J184" i="3"/>
  <c r="H183" i="3"/>
  <c r="F182" i="3"/>
  <c r="J180" i="3"/>
  <c r="H179" i="3"/>
  <c r="F178" i="3"/>
  <c r="J176" i="3"/>
  <c r="H175" i="3"/>
  <c r="F174" i="3"/>
  <c r="J172" i="3"/>
  <c r="H171" i="3"/>
  <c r="F170" i="3"/>
  <c r="J168" i="3"/>
  <c r="H167" i="3"/>
  <c r="F166" i="3"/>
  <c r="J164" i="3"/>
  <c r="H163" i="3"/>
  <c r="F162" i="3"/>
  <c r="J160" i="3"/>
  <c r="H159" i="3"/>
  <c r="F158" i="3"/>
  <c r="J156" i="3"/>
  <c r="H155" i="3"/>
  <c r="F154" i="3"/>
  <c r="J152" i="3"/>
  <c r="H151" i="3"/>
  <c r="F150" i="3"/>
  <c r="J148" i="3"/>
  <c r="F146" i="3"/>
  <c r="F187" i="3"/>
  <c r="J185" i="3"/>
  <c r="H184" i="3"/>
  <c r="F183" i="3"/>
  <c r="J181" i="3"/>
  <c r="H180" i="3"/>
  <c r="F179" i="3"/>
  <c r="J177" i="3"/>
  <c r="H176" i="3"/>
  <c r="F175" i="3"/>
  <c r="J173" i="3"/>
  <c r="H172" i="3"/>
  <c r="F171" i="3"/>
  <c r="J169" i="3"/>
  <c r="H168" i="3"/>
  <c r="F167" i="3"/>
  <c r="J165" i="3"/>
  <c r="H164" i="3"/>
  <c r="F163" i="3"/>
  <c r="J161" i="3"/>
  <c r="H160" i="3"/>
  <c r="F159" i="3"/>
  <c r="J157" i="3"/>
  <c r="H156" i="3"/>
  <c r="F155" i="3"/>
  <c r="J153" i="3"/>
  <c r="H152" i="3"/>
  <c r="F151" i="3"/>
  <c r="H148" i="3"/>
  <c r="F147" i="3"/>
  <c r="J186" i="3"/>
  <c r="H185" i="3"/>
  <c r="F184" i="3"/>
  <c r="J182" i="3"/>
  <c r="H181" i="3"/>
  <c r="F180" i="3"/>
  <c r="J178" i="3"/>
  <c r="H177" i="3"/>
  <c r="F176" i="3"/>
  <c r="J174" i="3"/>
  <c r="H173" i="3"/>
  <c r="F172" i="3"/>
  <c r="J170" i="3"/>
  <c r="H169" i="3"/>
  <c r="F168" i="3"/>
  <c r="J166" i="3"/>
  <c r="H165" i="3"/>
  <c r="F164" i="3"/>
  <c r="J162" i="3"/>
  <c r="H161" i="3"/>
  <c r="F160" i="3"/>
  <c r="J158" i="3"/>
  <c r="H157" i="3"/>
  <c r="F156" i="3"/>
  <c r="J154" i="3"/>
  <c r="H153" i="3"/>
  <c r="F152" i="3"/>
  <c r="F148" i="3"/>
  <c r="J146" i="3"/>
  <c r="I125" i="3"/>
  <c r="I126" i="3" s="1"/>
  <c r="I34" i="3" s="1"/>
  <c r="I38" i="3" s="1"/>
  <c r="G147" i="3"/>
  <c r="E150" i="3"/>
  <c r="I152" i="3"/>
  <c r="G155" i="3"/>
  <c r="E158" i="3"/>
  <c r="I160" i="3"/>
  <c r="G163" i="3"/>
  <c r="E166" i="3"/>
  <c r="I168" i="3"/>
  <c r="G171" i="3"/>
  <c r="E174" i="3"/>
  <c r="I176" i="3"/>
  <c r="G179" i="3"/>
  <c r="E182" i="3"/>
  <c r="I184" i="3"/>
  <c r="G187" i="3"/>
  <c r="G32" i="6"/>
  <c r="I126" i="1" s="1"/>
  <c r="D9" i="21" s="1"/>
  <c r="E210" i="6"/>
  <c r="E341" i="6"/>
  <c r="J343" i="6"/>
  <c r="J40" i="6" s="1"/>
  <c r="J550" i="1"/>
  <c r="H556" i="1"/>
  <c r="H563" i="1" s="1"/>
  <c r="I309" i="2"/>
  <c r="E347" i="2"/>
  <c r="I345" i="2"/>
  <c r="G344" i="2"/>
  <c r="E343" i="2"/>
  <c r="I341" i="2"/>
  <c r="G340" i="2"/>
  <c r="E339" i="2"/>
  <c r="I337" i="2"/>
  <c r="G336" i="2"/>
  <c r="E335" i="2"/>
  <c r="I333" i="2"/>
  <c r="G332" i="2"/>
  <c r="E331" i="2"/>
  <c r="I329" i="2"/>
  <c r="G328" i="2"/>
  <c r="E327" i="2"/>
  <c r="I325" i="2"/>
  <c r="G324" i="2"/>
  <c r="E323" i="2"/>
  <c r="I321" i="2"/>
  <c r="G320" i="2"/>
  <c r="E319" i="2"/>
  <c r="I317" i="2"/>
  <c r="G316" i="2"/>
  <c r="E315" i="2"/>
  <c r="I313" i="2"/>
  <c r="G312" i="2"/>
  <c r="E311" i="2"/>
  <c r="G308" i="2"/>
  <c r="E307" i="2"/>
  <c r="J346" i="2"/>
  <c r="H345" i="2"/>
  <c r="F344" i="2"/>
  <c r="J342" i="2"/>
  <c r="H341" i="2"/>
  <c r="F340" i="2"/>
  <c r="J338" i="2"/>
  <c r="H337" i="2"/>
  <c r="F336" i="2"/>
  <c r="J334" i="2"/>
  <c r="H333" i="2"/>
  <c r="F332" i="2"/>
  <c r="J330" i="2"/>
  <c r="H329" i="2"/>
  <c r="F328" i="2"/>
  <c r="J326" i="2"/>
  <c r="H325" i="2"/>
  <c r="F324" i="2"/>
  <c r="J322" i="2"/>
  <c r="H321" i="2"/>
  <c r="F320" i="2"/>
  <c r="J318" i="2"/>
  <c r="H317" i="2"/>
  <c r="F316" i="2"/>
  <c r="J314" i="2"/>
  <c r="H313" i="2"/>
  <c r="F312" i="2"/>
  <c r="J310" i="2"/>
  <c r="F308" i="2"/>
  <c r="J347" i="2"/>
  <c r="H346" i="2"/>
  <c r="F345" i="2"/>
  <c r="J343" i="2"/>
  <c r="H342" i="2"/>
  <c r="F341" i="2"/>
  <c r="J339" i="2"/>
  <c r="H338" i="2"/>
  <c r="F337" i="2"/>
  <c r="J335" i="2"/>
  <c r="H334" i="2"/>
  <c r="F333" i="2"/>
  <c r="J331" i="2"/>
  <c r="H330" i="2"/>
  <c r="F329" i="2"/>
  <c r="J327" i="2"/>
  <c r="H326" i="2"/>
  <c r="F325" i="2"/>
  <c r="J323" i="2"/>
  <c r="H322" i="2"/>
  <c r="F321" i="2"/>
  <c r="J319" i="2"/>
  <c r="H318" i="2"/>
  <c r="F317" i="2"/>
  <c r="J315" i="2"/>
  <c r="H314" i="2"/>
  <c r="F313" i="2"/>
  <c r="H347" i="2"/>
  <c r="F346" i="2"/>
  <c r="J344" i="2"/>
  <c r="H343" i="2"/>
  <c r="F342" i="2"/>
  <c r="J340" i="2"/>
  <c r="H339" i="2"/>
  <c r="F338" i="2"/>
  <c r="J336" i="2"/>
  <c r="H335" i="2"/>
  <c r="F334" i="2"/>
  <c r="J332" i="2"/>
  <c r="H331" i="2"/>
  <c r="F330" i="2"/>
  <c r="J328" i="2"/>
  <c r="H327" i="2"/>
  <c r="F326" i="2"/>
  <c r="J324" i="2"/>
  <c r="H323" i="2"/>
  <c r="F322" i="2"/>
  <c r="J320" i="2"/>
  <c r="H319" i="2"/>
  <c r="F318" i="2"/>
  <c r="J316" i="2"/>
  <c r="H315" i="2"/>
  <c r="F314" i="2"/>
  <c r="J312" i="2"/>
  <c r="H311" i="2"/>
  <c r="F310" i="2"/>
  <c r="H307" i="2"/>
  <c r="F306" i="2"/>
  <c r="F259" i="2"/>
  <c r="F278" i="2"/>
  <c r="F39" i="2" s="1"/>
  <c r="F43" i="2" s="1"/>
  <c r="J280" i="2"/>
  <c r="J283" i="2" s="1"/>
  <c r="J40" i="2" s="1"/>
  <c r="J43" i="2" s="1"/>
  <c r="H306" i="2"/>
  <c r="I310" i="2"/>
  <c r="E313" i="2"/>
  <c r="I315" i="2"/>
  <c r="G318" i="2"/>
  <c r="E321" i="2"/>
  <c r="I323" i="2"/>
  <c r="G326" i="2"/>
  <c r="E329" i="2"/>
  <c r="I331" i="2"/>
  <c r="G334" i="2"/>
  <c r="E337" i="2"/>
  <c r="I339" i="2"/>
  <c r="G342" i="2"/>
  <c r="E345" i="2"/>
  <c r="I347" i="2"/>
  <c r="J147" i="3"/>
  <c r="H150" i="3"/>
  <c r="F153" i="3"/>
  <c r="J155" i="3"/>
  <c r="H158" i="3"/>
  <c r="F161" i="3"/>
  <c r="J163" i="3"/>
  <c r="H166" i="3"/>
  <c r="F169" i="3"/>
  <c r="J171" i="3"/>
  <c r="H174" i="3"/>
  <c r="F177" i="3"/>
  <c r="J179" i="3"/>
  <c r="H182" i="3"/>
  <c r="F185" i="3"/>
  <c r="J187" i="3"/>
  <c r="J137" i="4"/>
  <c r="J178" i="4" s="1"/>
  <c r="J115" i="4"/>
  <c r="J116" i="4" s="1"/>
  <c r="J31" i="4" s="1"/>
  <c r="G82" i="5"/>
  <c r="G148" i="5"/>
  <c r="I153" i="5"/>
  <c r="E159" i="5"/>
  <c r="G164" i="5"/>
  <c r="I169" i="5"/>
  <c r="I175" i="5"/>
  <c r="I181" i="5"/>
  <c r="J187" i="5"/>
  <c r="H376" i="6"/>
  <c r="H82" i="6"/>
  <c r="H339" i="6" s="1"/>
  <c r="H343" i="6" s="1"/>
  <c r="H40" i="6" s="1"/>
  <c r="K416" i="1" s="1"/>
  <c r="I77" i="7"/>
  <c r="J145" i="7"/>
  <c r="L524" i="1"/>
  <c r="L563" i="1" s="1"/>
  <c r="G38" i="3"/>
  <c r="E148" i="3"/>
  <c r="I150" i="3"/>
  <c r="G153" i="3"/>
  <c r="E156" i="3"/>
  <c r="I158" i="3"/>
  <c r="G161" i="3"/>
  <c r="E164" i="3"/>
  <c r="I166" i="3"/>
  <c r="G169" i="3"/>
  <c r="E172" i="3"/>
  <c r="I174" i="3"/>
  <c r="G177" i="3"/>
  <c r="E180" i="3"/>
  <c r="I182" i="3"/>
  <c r="G185" i="3"/>
  <c r="F38" i="5"/>
  <c r="I130" i="5"/>
  <c r="I131" i="5" s="1"/>
  <c r="I35" i="5" s="1"/>
  <c r="I150" i="5"/>
  <c r="H337" i="6"/>
  <c r="H39" i="6" s="1"/>
  <c r="J416" i="1" s="1"/>
  <c r="H142" i="7"/>
  <c r="H121" i="7"/>
  <c r="H122" i="7" s="1"/>
  <c r="H30" i="7" s="1"/>
  <c r="H62" i="7"/>
  <c r="H77" i="7" s="1"/>
  <c r="H544" i="8"/>
  <c r="G582" i="8"/>
  <c r="F575" i="8"/>
  <c r="F568" i="8"/>
  <c r="E561" i="8"/>
  <c r="J554" i="8"/>
  <c r="E549" i="8"/>
  <c r="F543" i="8"/>
  <c r="H580" i="8"/>
  <c r="H573" i="8"/>
  <c r="G566" i="8"/>
  <c r="F559" i="8"/>
  <c r="F553" i="8"/>
  <c r="I547" i="8"/>
  <c r="J578" i="8"/>
  <c r="I571" i="8"/>
  <c r="H564" i="8"/>
  <c r="H557" i="8"/>
  <c r="I551" i="8"/>
  <c r="F546" i="8"/>
  <c r="H545" i="8"/>
  <c r="J223" i="2"/>
  <c r="J230" i="2" s="1"/>
  <c r="F289" i="2"/>
  <c r="F41" i="2" s="1"/>
  <c r="H332" i="2"/>
  <c r="F335" i="2"/>
  <c r="J337" i="2"/>
  <c r="H340" i="2"/>
  <c r="F343" i="2"/>
  <c r="J345" i="2"/>
  <c r="H77" i="3"/>
  <c r="G148" i="3"/>
  <c r="E151" i="3"/>
  <c r="I153" i="3"/>
  <c r="G156" i="3"/>
  <c r="E159" i="3"/>
  <c r="I161" i="3"/>
  <c r="G164" i="3"/>
  <c r="E167" i="3"/>
  <c r="I169" i="3"/>
  <c r="G172" i="3"/>
  <c r="E175" i="3"/>
  <c r="I177" i="3"/>
  <c r="G180" i="3"/>
  <c r="E183" i="3"/>
  <c r="I185" i="3"/>
  <c r="H147" i="5"/>
  <c r="J150" i="5"/>
  <c r="J82" i="5"/>
  <c r="I149" i="5"/>
  <c r="E155" i="5"/>
  <c r="G160" i="5"/>
  <c r="I165" i="5"/>
  <c r="E171" i="5"/>
  <c r="F177" i="5"/>
  <c r="F183" i="5"/>
  <c r="I68" i="6"/>
  <c r="I83" i="6" s="1"/>
  <c r="I354" i="6"/>
  <c r="I147" i="6"/>
  <c r="I530" i="8"/>
  <c r="I59" i="8" s="1"/>
  <c r="F551" i="8"/>
  <c r="I174" i="4"/>
  <c r="E176" i="4"/>
  <c r="G177" i="4"/>
  <c r="I337" i="6"/>
  <c r="I39" i="6" s="1"/>
  <c r="F395" i="6"/>
  <c r="J393" i="6"/>
  <c r="H392" i="6"/>
  <c r="F391" i="6"/>
  <c r="J389" i="6"/>
  <c r="H388" i="6"/>
  <c r="F387" i="6"/>
  <c r="J385" i="6"/>
  <c r="H384" i="6"/>
  <c r="F383" i="6"/>
  <c r="J381" i="6"/>
  <c r="H380" i="6"/>
  <c r="F379" i="6"/>
  <c r="J377" i="6"/>
  <c r="F375" i="6"/>
  <c r="J373" i="6"/>
  <c r="H372" i="6"/>
  <c r="F371" i="6"/>
  <c r="E395" i="6"/>
  <c r="I393" i="6"/>
  <c r="G392" i="6"/>
  <c r="E391" i="6"/>
  <c r="I389" i="6"/>
  <c r="G388" i="6"/>
  <c r="E387" i="6"/>
  <c r="I385" i="6"/>
  <c r="G384" i="6"/>
  <c r="E383" i="6"/>
  <c r="I381" i="6"/>
  <c r="G380" i="6"/>
  <c r="E379" i="6"/>
  <c r="I377" i="6"/>
  <c r="G376" i="6"/>
  <c r="E375" i="6"/>
  <c r="I373" i="6"/>
  <c r="G372" i="6"/>
  <c r="E371" i="6"/>
  <c r="I369" i="6"/>
  <c r="G368" i="6"/>
  <c r="E367" i="6"/>
  <c r="I365" i="6"/>
  <c r="G364" i="6"/>
  <c r="E363" i="6"/>
  <c r="I361" i="6"/>
  <c r="G360" i="6"/>
  <c r="E359" i="6"/>
  <c r="G356" i="6"/>
  <c r="E355" i="6"/>
  <c r="I395" i="6"/>
  <c r="G394" i="6"/>
  <c r="E393" i="6"/>
  <c r="I391" i="6"/>
  <c r="G390" i="6"/>
  <c r="E389" i="6"/>
  <c r="I387" i="6"/>
  <c r="G386" i="6"/>
  <c r="E385" i="6"/>
  <c r="I383" i="6"/>
  <c r="G382" i="6"/>
  <c r="E381" i="6"/>
  <c r="I379" i="6"/>
  <c r="G378" i="6"/>
  <c r="E377" i="6"/>
  <c r="I375" i="6"/>
  <c r="G374" i="6"/>
  <c r="E373" i="6"/>
  <c r="I371" i="6"/>
  <c r="G370" i="6"/>
  <c r="E369" i="6"/>
  <c r="I367" i="6"/>
  <c r="G366" i="6"/>
  <c r="E365" i="6"/>
  <c r="I363" i="6"/>
  <c r="G362" i="6"/>
  <c r="E361" i="6"/>
  <c r="I359" i="6"/>
  <c r="G358" i="6"/>
  <c r="E357" i="6"/>
  <c r="G354" i="6"/>
  <c r="J210" i="6"/>
  <c r="J225" i="6"/>
  <c r="J278" i="6"/>
  <c r="J315" i="6"/>
  <c r="J319" i="6" s="1"/>
  <c r="J36" i="6" s="1"/>
  <c r="J41" i="6" s="1"/>
  <c r="J318" i="6"/>
  <c r="F355" i="6"/>
  <c r="J356" i="6"/>
  <c r="I358" i="6"/>
  <c r="H360" i="6"/>
  <c r="F362" i="6"/>
  <c r="E364" i="6"/>
  <c r="J365" i="6"/>
  <c r="H367" i="6"/>
  <c r="G369" i="6"/>
  <c r="G371" i="6"/>
  <c r="G373" i="6"/>
  <c r="H375" i="6"/>
  <c r="H377" i="6"/>
  <c r="J379" i="6"/>
  <c r="E382" i="6"/>
  <c r="E384" i="6"/>
  <c r="F386" i="6"/>
  <c r="F388" i="6"/>
  <c r="H390" i="6"/>
  <c r="I392" i="6"/>
  <c r="I394" i="6"/>
  <c r="E42" i="8"/>
  <c r="G69" i="1" s="1"/>
  <c r="J89" i="8"/>
  <c r="J103" i="8" s="1"/>
  <c r="J490" i="8"/>
  <c r="J496" i="8" s="1"/>
  <c r="J55" i="8" s="1"/>
  <c r="I521" i="8"/>
  <c r="I58" i="8" s="1"/>
  <c r="H511" i="8"/>
  <c r="H443" i="8"/>
  <c r="H451" i="8" s="1"/>
  <c r="F530" i="8"/>
  <c r="F59" i="8" s="1"/>
  <c r="F137" i="9"/>
  <c r="F138" i="9" s="1"/>
  <c r="F38" i="9" s="1"/>
  <c r="F81" i="9"/>
  <c r="I460" i="10"/>
  <c r="G493" i="10"/>
  <c r="J129" i="3"/>
  <c r="J130" i="3" s="1"/>
  <c r="J35" i="3" s="1"/>
  <c r="J38" i="3" s="1"/>
  <c r="J150" i="3"/>
  <c r="F136" i="4"/>
  <c r="J138" i="4"/>
  <c r="F140" i="4"/>
  <c r="H141" i="4"/>
  <c r="J142" i="4"/>
  <c r="F144" i="4"/>
  <c r="H145" i="4"/>
  <c r="J146" i="4"/>
  <c r="F148" i="4"/>
  <c r="H149" i="4"/>
  <c r="J150" i="4"/>
  <c r="F152" i="4"/>
  <c r="H153" i="4"/>
  <c r="J154" i="4"/>
  <c r="F156" i="4"/>
  <c r="H157" i="4"/>
  <c r="J158" i="4"/>
  <c r="F160" i="4"/>
  <c r="H161" i="4"/>
  <c r="J162" i="4"/>
  <c r="F164" i="4"/>
  <c r="H165" i="4"/>
  <c r="J166" i="4"/>
  <c r="F168" i="4"/>
  <c r="H169" i="4"/>
  <c r="J170" i="4"/>
  <c r="F172" i="4"/>
  <c r="H173" i="4"/>
  <c r="J174" i="4"/>
  <c r="F176" i="4"/>
  <c r="H177" i="4"/>
  <c r="H134" i="5"/>
  <c r="H135" i="5" s="1"/>
  <c r="H36" i="5" s="1"/>
  <c r="J415" i="1" s="1"/>
  <c r="E147" i="6"/>
  <c r="H321" i="6"/>
  <c r="H325" i="6" s="1"/>
  <c r="H37" i="6" s="1"/>
  <c r="H416" i="1" s="1"/>
  <c r="G355" i="6"/>
  <c r="F357" i="6"/>
  <c r="I360" i="6"/>
  <c r="H362" i="6"/>
  <c r="F364" i="6"/>
  <c r="E366" i="6"/>
  <c r="J367" i="6"/>
  <c r="H369" i="6"/>
  <c r="H371" i="6"/>
  <c r="H373" i="6"/>
  <c r="J375" i="6"/>
  <c r="E378" i="6"/>
  <c r="E380" i="6"/>
  <c r="F382" i="6"/>
  <c r="F384" i="6"/>
  <c r="H386" i="6"/>
  <c r="I388" i="6"/>
  <c r="I390" i="6"/>
  <c r="J392" i="6"/>
  <c r="J394" i="6"/>
  <c r="I76" i="7"/>
  <c r="I133" i="7" s="1"/>
  <c r="I134" i="7" s="1"/>
  <c r="I34" i="7" s="1"/>
  <c r="F35" i="7"/>
  <c r="E155" i="7"/>
  <c r="J157" i="7"/>
  <c r="H160" i="7"/>
  <c r="I163" i="7"/>
  <c r="F167" i="7"/>
  <c r="G170" i="7"/>
  <c r="J173" i="7"/>
  <c r="E177" i="7"/>
  <c r="G181" i="7"/>
  <c r="J581" i="8"/>
  <c r="G578" i="8"/>
  <c r="J574" i="8"/>
  <c r="F571" i="8"/>
  <c r="I567" i="8"/>
  <c r="F564" i="8"/>
  <c r="H560" i="8"/>
  <c r="E557" i="8"/>
  <c r="G554" i="8"/>
  <c r="H551" i="8"/>
  <c r="H548" i="8"/>
  <c r="J545" i="8"/>
  <c r="I244" i="8"/>
  <c r="I252" i="8" s="1"/>
  <c r="E512" i="8"/>
  <c r="E57" i="8" s="1"/>
  <c r="F547" i="8"/>
  <c r="E553" i="8"/>
  <c r="J558" i="8"/>
  <c r="J565" i="8"/>
  <c r="E573" i="8"/>
  <c r="F580" i="8"/>
  <c r="J466" i="10"/>
  <c r="J130" i="7"/>
  <c r="J131" i="7" s="1"/>
  <c r="J33" i="7" s="1"/>
  <c r="J146" i="7"/>
  <c r="F42" i="8"/>
  <c r="H69" i="1" s="1"/>
  <c r="H244" i="8"/>
  <c r="H252" i="8" s="1"/>
  <c r="H492" i="8"/>
  <c r="H496" i="8" s="1"/>
  <c r="H55" i="8" s="1"/>
  <c r="J244" i="8"/>
  <c r="J252" i="8" s="1"/>
  <c r="I493" i="8"/>
  <c r="I310" i="8"/>
  <c r="F38" i="10"/>
  <c r="H130" i="1" s="1"/>
  <c r="J234" i="10"/>
  <c r="J241" i="10" s="1"/>
  <c r="J408" i="10"/>
  <c r="H416" i="10"/>
  <c r="H294" i="10"/>
  <c r="H301" i="10" s="1"/>
  <c r="J343" i="11"/>
  <c r="J211" i="11"/>
  <c r="F139" i="4"/>
  <c r="J141" i="4"/>
  <c r="F143" i="4"/>
  <c r="H144" i="4"/>
  <c r="J145" i="4"/>
  <c r="F147" i="4"/>
  <c r="H148" i="4"/>
  <c r="J149" i="4"/>
  <c r="F151" i="4"/>
  <c r="H152" i="4"/>
  <c r="J153" i="4"/>
  <c r="F155" i="4"/>
  <c r="H156" i="4"/>
  <c r="J157" i="4"/>
  <c r="F159" i="4"/>
  <c r="H160" i="4"/>
  <c r="J161" i="4"/>
  <c r="F163" i="4"/>
  <c r="H164" i="4"/>
  <c r="J165" i="4"/>
  <c r="F167" i="4"/>
  <c r="H168" i="4"/>
  <c r="J169" i="4"/>
  <c r="F171" i="4"/>
  <c r="H172" i="4"/>
  <c r="J173" i="4"/>
  <c r="F175" i="4"/>
  <c r="H176" i="4"/>
  <c r="J177" i="4"/>
  <c r="I69" i="5"/>
  <c r="I82" i="5" s="1"/>
  <c r="J126" i="5"/>
  <c r="J127" i="5" s="1"/>
  <c r="J34" i="5" s="1"/>
  <c r="G331" i="6"/>
  <c r="G38" i="6" s="1"/>
  <c r="E354" i="6"/>
  <c r="H357" i="6"/>
  <c r="G359" i="6"/>
  <c r="F361" i="6"/>
  <c r="J362" i="6"/>
  <c r="I364" i="6"/>
  <c r="H366" i="6"/>
  <c r="F368" i="6"/>
  <c r="E370" i="6"/>
  <c r="E372" i="6"/>
  <c r="F374" i="6"/>
  <c r="F376" i="6"/>
  <c r="H378" i="6"/>
  <c r="I380" i="6"/>
  <c r="I382" i="6"/>
  <c r="J384" i="6"/>
  <c r="J386" i="6"/>
  <c r="F389" i="6"/>
  <c r="G391" i="6"/>
  <c r="G393" i="6"/>
  <c r="H395" i="6"/>
  <c r="J149" i="7"/>
  <c r="E153" i="7"/>
  <c r="E156" i="7"/>
  <c r="I158" i="7"/>
  <c r="H161" i="7"/>
  <c r="G164" i="7"/>
  <c r="E168" i="7"/>
  <c r="G171" i="7"/>
  <c r="I174" i="7"/>
  <c r="E178" i="7"/>
  <c r="H42" i="8"/>
  <c r="J69" i="1" s="1"/>
  <c r="I42" i="8"/>
  <c r="K69" i="1" s="1"/>
  <c r="K78" i="1" s="1"/>
  <c r="K7" i="1" s="1"/>
  <c r="I375" i="8"/>
  <c r="I387" i="8" s="1"/>
  <c r="I494" i="8"/>
  <c r="F548" i="8"/>
  <c r="J553" i="8"/>
  <c r="G560" i="8"/>
  <c r="H567" i="8"/>
  <c r="H574" i="8"/>
  <c r="I581" i="8"/>
  <c r="G343" i="6"/>
  <c r="G40" i="6" s="1"/>
  <c r="J135" i="6"/>
  <c r="J147" i="6" s="1"/>
  <c r="F340" i="6"/>
  <c r="H359" i="6"/>
  <c r="G361" i="6"/>
  <c r="F363" i="6"/>
  <c r="J364" i="6"/>
  <c r="I366" i="6"/>
  <c r="H368" i="6"/>
  <c r="F370" i="6"/>
  <c r="F372" i="6"/>
  <c r="H374" i="6"/>
  <c r="I376" i="6"/>
  <c r="I378" i="6"/>
  <c r="J380" i="6"/>
  <c r="J382" i="6"/>
  <c r="F385" i="6"/>
  <c r="G387" i="6"/>
  <c r="G389" i="6"/>
  <c r="H391" i="6"/>
  <c r="H393" i="6"/>
  <c r="J395" i="6"/>
  <c r="E35" i="7"/>
  <c r="J42" i="8"/>
  <c r="L69" i="1" s="1"/>
  <c r="L78" i="1" s="1"/>
  <c r="L7" i="1" s="1"/>
  <c r="H512" i="8"/>
  <c r="H57" i="8" s="1"/>
  <c r="I418" i="1" s="1"/>
  <c r="J443" i="8"/>
  <c r="J451" i="8" s="1"/>
  <c r="F521" i="8"/>
  <c r="F58" i="8" s="1"/>
  <c r="J539" i="8"/>
  <c r="H480" i="10"/>
  <c r="H466" i="10"/>
  <c r="E479" i="10"/>
  <c r="F462" i="10"/>
  <c r="H491" i="10"/>
  <c r="H474" i="10"/>
  <c r="G460" i="10"/>
  <c r="I486" i="10"/>
  <c r="H472" i="10"/>
  <c r="I454" i="10"/>
  <c r="I478" i="10"/>
  <c r="E400" i="11"/>
  <c r="J111" i="4"/>
  <c r="J112" i="4" s="1"/>
  <c r="J30" i="4" s="1"/>
  <c r="J35" i="4" s="1"/>
  <c r="F138" i="4"/>
  <c r="F142" i="4"/>
  <c r="H143" i="4"/>
  <c r="J144" i="4"/>
  <c r="F146" i="4"/>
  <c r="H147" i="4"/>
  <c r="J148" i="4"/>
  <c r="F150" i="4"/>
  <c r="H151" i="4"/>
  <c r="J152" i="4"/>
  <c r="F154" i="4"/>
  <c r="H155" i="4"/>
  <c r="J156" i="4"/>
  <c r="F158" i="4"/>
  <c r="H159" i="4"/>
  <c r="J160" i="4"/>
  <c r="F162" i="4"/>
  <c r="H163" i="4"/>
  <c r="J164" i="4"/>
  <c r="F166" i="4"/>
  <c r="H167" i="4"/>
  <c r="J168" i="4"/>
  <c r="F170" i="4"/>
  <c r="H171" i="4"/>
  <c r="J172" i="4"/>
  <c r="F174" i="4"/>
  <c r="H175" i="4"/>
  <c r="J176" i="4"/>
  <c r="H122" i="5"/>
  <c r="H123" i="5" s="1"/>
  <c r="H33" i="5" s="1"/>
  <c r="I357" i="6"/>
  <c r="I210" i="6"/>
  <c r="G319" i="6"/>
  <c r="G36" i="6" s="1"/>
  <c r="J316" i="6"/>
  <c r="I327" i="6"/>
  <c r="I331" i="6" s="1"/>
  <c r="I38" i="6" s="1"/>
  <c r="H354" i="6"/>
  <c r="F356" i="6"/>
  <c r="E358" i="6"/>
  <c r="J359" i="6"/>
  <c r="H361" i="6"/>
  <c r="G363" i="6"/>
  <c r="F365" i="6"/>
  <c r="J366" i="6"/>
  <c r="I368" i="6"/>
  <c r="H370" i="6"/>
  <c r="I372" i="6"/>
  <c r="I374" i="6"/>
  <c r="J376" i="6"/>
  <c r="J378" i="6"/>
  <c r="F381" i="6"/>
  <c r="G383" i="6"/>
  <c r="G385" i="6"/>
  <c r="H387" i="6"/>
  <c r="H389" i="6"/>
  <c r="J391" i="6"/>
  <c r="E394" i="6"/>
  <c r="E145" i="7"/>
  <c r="F143" i="7"/>
  <c r="F183" i="7"/>
  <c r="E181" i="7"/>
  <c r="E179" i="7"/>
  <c r="G142" i="7"/>
  <c r="G145" i="7"/>
  <c r="E148" i="7"/>
  <c r="J150" i="7"/>
  <c r="H153" i="7"/>
  <c r="H156" i="7"/>
  <c r="G159" i="7"/>
  <c r="E162" i="7"/>
  <c r="G165" i="7"/>
  <c r="H168" i="7"/>
  <c r="G172" i="7"/>
  <c r="I175" i="7"/>
  <c r="F179" i="7"/>
  <c r="G183" i="7"/>
  <c r="I491" i="8"/>
  <c r="I174" i="8"/>
  <c r="I184" i="8" s="1"/>
  <c r="H183" i="8"/>
  <c r="H525" i="8" s="1"/>
  <c r="H530" i="8" s="1"/>
  <c r="H59" i="8" s="1"/>
  <c r="K418" i="1" s="1"/>
  <c r="G544" i="8"/>
  <c r="J549" i="8"/>
  <c r="I555" i="8"/>
  <c r="G562" i="8"/>
  <c r="H569" i="8"/>
  <c r="H576" i="8"/>
  <c r="I583" i="8"/>
  <c r="I484" i="10"/>
  <c r="E137" i="4"/>
  <c r="E178" i="4" s="1"/>
  <c r="G138" i="4"/>
  <c r="G178" i="4" s="1"/>
  <c r="E141" i="4"/>
  <c r="G142" i="4"/>
  <c r="I143" i="4"/>
  <c r="I178" i="4" s="1"/>
  <c r="E145" i="4"/>
  <c r="G146" i="4"/>
  <c r="I147" i="4"/>
  <c r="E149" i="4"/>
  <c r="G150" i="4"/>
  <c r="I151" i="4"/>
  <c r="E153" i="4"/>
  <c r="G154" i="4"/>
  <c r="I155" i="4"/>
  <c r="E157" i="4"/>
  <c r="G158" i="4"/>
  <c r="I159" i="4"/>
  <c r="E161" i="4"/>
  <c r="G162" i="4"/>
  <c r="I163" i="4"/>
  <c r="E165" i="4"/>
  <c r="G166" i="4"/>
  <c r="I167" i="4"/>
  <c r="E169" i="4"/>
  <c r="G170" i="4"/>
  <c r="I171" i="4"/>
  <c r="E173" i="4"/>
  <c r="G174" i="4"/>
  <c r="I175" i="4"/>
  <c r="I122" i="5"/>
  <c r="I123" i="5" s="1"/>
  <c r="I33" i="5" s="1"/>
  <c r="I38" i="5" s="1"/>
  <c r="G25" i="6"/>
  <c r="I67" i="1" s="1"/>
  <c r="I78" i="1" s="1"/>
  <c r="I7" i="1" s="1"/>
  <c r="E325" i="6"/>
  <c r="E37" i="6" s="1"/>
  <c r="F342" i="6"/>
  <c r="H356" i="6"/>
  <c r="F358" i="6"/>
  <c r="E360" i="6"/>
  <c r="J361" i="6"/>
  <c r="H363" i="6"/>
  <c r="G365" i="6"/>
  <c r="F367" i="6"/>
  <c r="J368" i="6"/>
  <c r="I370" i="6"/>
  <c r="J372" i="6"/>
  <c r="J374" i="6"/>
  <c r="F377" i="6"/>
  <c r="G379" i="6"/>
  <c r="G381" i="6"/>
  <c r="H383" i="6"/>
  <c r="H385" i="6"/>
  <c r="J387" i="6"/>
  <c r="E390" i="6"/>
  <c r="E392" i="6"/>
  <c r="F394" i="6"/>
  <c r="I127" i="7"/>
  <c r="I128" i="7" s="1"/>
  <c r="I32" i="7" s="1"/>
  <c r="I35" i="7" s="1"/>
  <c r="I145" i="7"/>
  <c r="E133" i="7"/>
  <c r="E134" i="7" s="1"/>
  <c r="E34" i="7" s="1"/>
  <c r="E77" i="7"/>
  <c r="I156" i="7"/>
  <c r="I159" i="7"/>
  <c r="G162" i="7"/>
  <c r="J165" i="7"/>
  <c r="G169" i="7"/>
  <c r="H172" i="7"/>
  <c r="E176" i="7"/>
  <c r="E180" i="7"/>
  <c r="J509" i="8"/>
  <c r="J501" i="8"/>
  <c r="J504" i="8" s="1"/>
  <c r="J56" i="8" s="1"/>
  <c r="J310" i="8"/>
  <c r="J321" i="8" s="1"/>
  <c r="F321" i="8"/>
  <c r="F512" i="8"/>
  <c r="F57" i="8" s="1"/>
  <c r="F60" i="8" s="1"/>
  <c r="F539" i="8"/>
  <c r="G550" i="8"/>
  <c r="F556" i="8"/>
  <c r="J562" i="8"/>
  <c r="J569" i="8"/>
  <c r="E577" i="8"/>
  <c r="F584" i="8"/>
  <c r="F454" i="10"/>
  <c r="F485" i="10"/>
  <c r="G233" i="11"/>
  <c r="G177" i="11"/>
  <c r="G299" i="11"/>
  <c r="I355" i="6"/>
  <c r="J143" i="7"/>
  <c r="J184" i="7" s="1"/>
  <c r="J124" i="7"/>
  <c r="J125" i="7" s="1"/>
  <c r="J31" i="7" s="1"/>
  <c r="J35" i="7" s="1"/>
  <c r="F164" i="7"/>
  <c r="E142" i="7"/>
  <c r="E144" i="7"/>
  <c r="G147" i="7"/>
  <c r="G149" i="7"/>
  <c r="E151" i="7"/>
  <c r="I152" i="7"/>
  <c r="I154" i="7"/>
  <c r="G156" i="7"/>
  <c r="E158" i="7"/>
  <c r="E160" i="7"/>
  <c r="I161" i="7"/>
  <c r="G163" i="7"/>
  <c r="I165" i="7"/>
  <c r="I167" i="7"/>
  <c r="J169" i="7"/>
  <c r="E172" i="7"/>
  <c r="E174" i="7"/>
  <c r="G176" i="7"/>
  <c r="G178" i="7"/>
  <c r="H180" i="7"/>
  <c r="I182" i="7"/>
  <c r="F583" i="8"/>
  <c r="H581" i="8"/>
  <c r="I579" i="8"/>
  <c r="J577" i="8"/>
  <c r="F576" i="8"/>
  <c r="G574" i="8"/>
  <c r="H572" i="8"/>
  <c r="J570" i="8"/>
  <c r="E569" i="8"/>
  <c r="F567" i="8"/>
  <c r="H565" i="8"/>
  <c r="I563" i="8"/>
  <c r="J561" i="8"/>
  <c r="F560" i="8"/>
  <c r="G558" i="8"/>
  <c r="J584" i="8"/>
  <c r="E583" i="8"/>
  <c r="F581" i="8"/>
  <c r="H579" i="8"/>
  <c r="I577" i="8"/>
  <c r="J575" i="8"/>
  <c r="F574" i="8"/>
  <c r="G572" i="8"/>
  <c r="H570" i="8"/>
  <c r="J568" i="8"/>
  <c r="E567" i="8"/>
  <c r="F565" i="8"/>
  <c r="H563" i="8"/>
  <c r="I561" i="8"/>
  <c r="J559" i="8"/>
  <c r="F558" i="8"/>
  <c r="G556" i="8"/>
  <c r="H554" i="8"/>
  <c r="J552" i="8"/>
  <c r="E551" i="8"/>
  <c r="F549" i="8"/>
  <c r="H547" i="8"/>
  <c r="I545" i="8"/>
  <c r="J543" i="8"/>
  <c r="G45" i="8"/>
  <c r="G51" i="8" s="1"/>
  <c r="I128" i="1" s="1"/>
  <c r="D11" i="21" s="1"/>
  <c r="J400" i="8"/>
  <c r="G496" i="8"/>
  <c r="G55" i="8" s="1"/>
  <c r="G60" i="8" s="1"/>
  <c r="H501" i="8"/>
  <c r="G512" i="8"/>
  <c r="G57" i="8" s="1"/>
  <c r="E545" i="8"/>
  <c r="J547" i="8"/>
  <c r="J550" i="8"/>
  <c r="H553" i="8"/>
  <c r="H556" i="8"/>
  <c r="I559" i="8"/>
  <c r="F563" i="8"/>
  <c r="J566" i="8"/>
  <c r="G570" i="8"/>
  <c r="J573" i="8"/>
  <c r="H577" i="8"/>
  <c r="E581" i="8"/>
  <c r="H584" i="8"/>
  <c r="F39" i="9"/>
  <c r="H187" i="9"/>
  <c r="F186" i="9"/>
  <c r="J184" i="9"/>
  <c r="H183" i="9"/>
  <c r="F182" i="9"/>
  <c r="J180" i="9"/>
  <c r="H179" i="9"/>
  <c r="F178" i="9"/>
  <c r="J176" i="9"/>
  <c r="H175" i="9"/>
  <c r="F174" i="9"/>
  <c r="J172" i="9"/>
  <c r="H171" i="9"/>
  <c r="F170" i="9"/>
  <c r="J168" i="9"/>
  <c r="H167" i="9"/>
  <c r="F166" i="9"/>
  <c r="J164" i="9"/>
  <c r="H163" i="9"/>
  <c r="F162" i="9"/>
  <c r="J160" i="9"/>
  <c r="H159" i="9"/>
  <c r="G187" i="9"/>
  <c r="E186" i="9"/>
  <c r="I184" i="9"/>
  <c r="G183" i="9"/>
  <c r="E182" i="9"/>
  <c r="I180" i="9"/>
  <c r="G179" i="9"/>
  <c r="E178" i="9"/>
  <c r="I176" i="9"/>
  <c r="G175" i="9"/>
  <c r="E174" i="9"/>
  <c r="I172" i="9"/>
  <c r="G171" i="9"/>
  <c r="E170" i="9"/>
  <c r="I168" i="9"/>
  <c r="G167" i="9"/>
  <c r="E166" i="9"/>
  <c r="I164" i="9"/>
  <c r="G163" i="9"/>
  <c r="F187" i="9"/>
  <c r="J185" i="9"/>
  <c r="H184" i="9"/>
  <c r="F183" i="9"/>
  <c r="J181" i="9"/>
  <c r="H180" i="9"/>
  <c r="F179" i="9"/>
  <c r="J177" i="9"/>
  <c r="H176" i="9"/>
  <c r="F175" i="9"/>
  <c r="J173" i="9"/>
  <c r="H172" i="9"/>
  <c r="F171" i="9"/>
  <c r="J169" i="9"/>
  <c r="H168" i="9"/>
  <c r="F167" i="9"/>
  <c r="J165" i="9"/>
  <c r="H164" i="9"/>
  <c r="F163" i="9"/>
  <c r="J161" i="9"/>
  <c r="H160" i="9"/>
  <c r="F159" i="9"/>
  <c r="J157" i="9"/>
  <c r="H156" i="9"/>
  <c r="F155" i="9"/>
  <c r="J153" i="9"/>
  <c r="H152" i="9"/>
  <c r="F151" i="9"/>
  <c r="H148" i="9"/>
  <c r="F147" i="9"/>
  <c r="J187" i="9"/>
  <c r="H186" i="9"/>
  <c r="F185" i="9"/>
  <c r="J183" i="9"/>
  <c r="H182" i="9"/>
  <c r="F181" i="9"/>
  <c r="J179" i="9"/>
  <c r="H178" i="9"/>
  <c r="F177" i="9"/>
  <c r="J175" i="9"/>
  <c r="H174" i="9"/>
  <c r="F173" i="9"/>
  <c r="J171" i="9"/>
  <c r="H170" i="9"/>
  <c r="F169" i="9"/>
  <c r="J167" i="9"/>
  <c r="H166" i="9"/>
  <c r="F165" i="9"/>
  <c r="E187" i="9"/>
  <c r="G184" i="9"/>
  <c r="I181" i="9"/>
  <c r="E179" i="9"/>
  <c r="G176" i="9"/>
  <c r="I173" i="9"/>
  <c r="E171" i="9"/>
  <c r="G168" i="9"/>
  <c r="I165" i="9"/>
  <c r="I163" i="9"/>
  <c r="J186" i="9"/>
  <c r="F184" i="9"/>
  <c r="H181" i="9"/>
  <c r="J178" i="9"/>
  <c r="F176" i="9"/>
  <c r="H173" i="9"/>
  <c r="J170" i="9"/>
  <c r="F168" i="9"/>
  <c r="H165" i="9"/>
  <c r="E163" i="9"/>
  <c r="G161" i="9"/>
  <c r="I159" i="9"/>
  <c r="E158" i="9"/>
  <c r="G156" i="9"/>
  <c r="G153" i="9"/>
  <c r="J151" i="9"/>
  <c r="G150" i="9"/>
  <c r="J148" i="9"/>
  <c r="G147" i="9"/>
  <c r="G186" i="9"/>
  <c r="I183" i="9"/>
  <c r="E181" i="9"/>
  <c r="G178" i="9"/>
  <c r="I175" i="9"/>
  <c r="E173" i="9"/>
  <c r="G170" i="9"/>
  <c r="I167" i="9"/>
  <c r="E165" i="9"/>
  <c r="I162" i="9"/>
  <c r="E161" i="9"/>
  <c r="E159" i="9"/>
  <c r="H157" i="9"/>
  <c r="E156" i="9"/>
  <c r="E153" i="9"/>
  <c r="H151" i="9"/>
  <c r="E150" i="9"/>
  <c r="H185" i="9"/>
  <c r="J182" i="9"/>
  <c r="F180" i="9"/>
  <c r="H177" i="9"/>
  <c r="J174" i="9"/>
  <c r="F172" i="9"/>
  <c r="H169" i="9"/>
  <c r="J166" i="9"/>
  <c r="F164" i="9"/>
  <c r="G162" i="9"/>
  <c r="G160" i="9"/>
  <c r="I158" i="9"/>
  <c r="F157" i="9"/>
  <c r="I155" i="9"/>
  <c r="F154" i="9"/>
  <c r="I152" i="9"/>
  <c r="E151" i="9"/>
  <c r="H149" i="9"/>
  <c r="E148" i="9"/>
  <c r="I185" i="9"/>
  <c r="G180" i="9"/>
  <c r="E175" i="9"/>
  <c r="I169" i="9"/>
  <c r="G164" i="9"/>
  <c r="F161" i="9"/>
  <c r="G158" i="9"/>
  <c r="H153" i="9"/>
  <c r="J150" i="9"/>
  <c r="I148" i="9"/>
  <c r="I146" i="9"/>
  <c r="G185" i="9"/>
  <c r="E180" i="9"/>
  <c r="I174" i="9"/>
  <c r="G169" i="9"/>
  <c r="E164" i="9"/>
  <c r="I160" i="9"/>
  <c r="F158" i="9"/>
  <c r="F153" i="9"/>
  <c r="G148" i="9"/>
  <c r="G146" i="9"/>
  <c r="E185" i="9"/>
  <c r="I179" i="9"/>
  <c r="G174" i="9"/>
  <c r="E169" i="9"/>
  <c r="J163" i="9"/>
  <c r="F160" i="9"/>
  <c r="I157" i="9"/>
  <c r="G155" i="9"/>
  <c r="J152" i="9"/>
  <c r="H150" i="9"/>
  <c r="F148" i="9"/>
  <c r="F146" i="9"/>
  <c r="E184" i="9"/>
  <c r="I178" i="9"/>
  <c r="G173" i="9"/>
  <c r="E168" i="9"/>
  <c r="J162" i="9"/>
  <c r="E160" i="9"/>
  <c r="G157" i="9"/>
  <c r="E155" i="9"/>
  <c r="G152" i="9"/>
  <c r="F150" i="9"/>
  <c r="E146" i="9"/>
  <c r="I182" i="9"/>
  <c r="G177" i="9"/>
  <c r="E172" i="9"/>
  <c r="I166" i="9"/>
  <c r="E162" i="9"/>
  <c r="G159" i="9"/>
  <c r="J156" i="9"/>
  <c r="G154" i="9"/>
  <c r="E152" i="9"/>
  <c r="G149" i="9"/>
  <c r="G39" i="9"/>
  <c r="F149" i="9"/>
  <c r="F156" i="9"/>
  <c r="H162" i="9"/>
  <c r="E177" i="9"/>
  <c r="I495" i="8"/>
  <c r="I443" i="8"/>
  <c r="I451" i="8" s="1"/>
  <c r="H146" i="7"/>
  <c r="J62" i="7"/>
  <c r="J77" i="7" s="1"/>
  <c r="J92" i="7"/>
  <c r="E143" i="7"/>
  <c r="I144" i="7"/>
  <c r="I184" i="7" s="1"/>
  <c r="I146" i="7"/>
  <c r="G148" i="7"/>
  <c r="E150" i="7"/>
  <c r="E152" i="7"/>
  <c r="I153" i="7"/>
  <c r="G155" i="7"/>
  <c r="G157" i="7"/>
  <c r="E159" i="7"/>
  <c r="I160" i="7"/>
  <c r="I162" i="7"/>
  <c r="I166" i="7"/>
  <c r="I168" i="7"/>
  <c r="E171" i="7"/>
  <c r="E173" i="7"/>
  <c r="F175" i="7"/>
  <c r="G177" i="7"/>
  <c r="G179" i="7"/>
  <c r="I181" i="7"/>
  <c r="I183" i="7"/>
  <c r="G67" i="8"/>
  <c r="I89" i="1" s="1"/>
  <c r="J198" i="8"/>
  <c r="I543" i="8"/>
  <c r="G546" i="8"/>
  <c r="H549" i="8"/>
  <c r="F552" i="8"/>
  <c r="E555" i="8"/>
  <c r="J557" i="8"/>
  <c r="H561" i="8"/>
  <c r="E565" i="8"/>
  <c r="H568" i="8"/>
  <c r="F572" i="8"/>
  <c r="I575" i="8"/>
  <c r="F579" i="8"/>
  <c r="J582" i="8"/>
  <c r="J146" i="9"/>
  <c r="F152" i="9"/>
  <c r="J158" i="9"/>
  <c r="I170" i="9"/>
  <c r="E183" i="9"/>
  <c r="J425" i="10"/>
  <c r="J44" i="10" s="1"/>
  <c r="H148" i="7"/>
  <c r="G150" i="7"/>
  <c r="F152" i="7"/>
  <c r="J153" i="7"/>
  <c r="I155" i="7"/>
  <c r="H157" i="7"/>
  <c r="F159" i="7"/>
  <c r="E161" i="7"/>
  <c r="J162" i="7"/>
  <c r="E167" i="7"/>
  <c r="E169" i="7"/>
  <c r="F171" i="7"/>
  <c r="G173" i="7"/>
  <c r="G175" i="7"/>
  <c r="I177" i="7"/>
  <c r="I179" i="7"/>
  <c r="J181" i="7"/>
  <c r="J512" i="8"/>
  <c r="J57" i="8" s="1"/>
  <c r="G530" i="8"/>
  <c r="G59" i="8" s="1"/>
  <c r="E539" i="8"/>
  <c r="J119" i="8"/>
  <c r="F184" i="8"/>
  <c r="F544" i="8"/>
  <c r="J546" i="8"/>
  <c r="I549" i="8"/>
  <c r="H552" i="8"/>
  <c r="F555" i="8"/>
  <c r="H558" i="8"/>
  <c r="F562" i="8"/>
  <c r="I565" i="8"/>
  <c r="F569" i="8"/>
  <c r="J572" i="8"/>
  <c r="G576" i="8"/>
  <c r="J579" i="8"/>
  <c r="H583" i="8"/>
  <c r="I133" i="9"/>
  <c r="I134" i="9" s="1"/>
  <c r="I37" i="9" s="1"/>
  <c r="I150" i="9"/>
  <c r="E147" i="9"/>
  <c r="I153" i="9"/>
  <c r="J159" i="9"/>
  <c r="I171" i="9"/>
  <c r="I186" i="9"/>
  <c r="J487" i="10"/>
  <c r="I494" i="10"/>
  <c r="J59" i="10"/>
  <c r="L91" i="1" s="1"/>
  <c r="L98" i="1" s="1"/>
  <c r="L20" i="1" s="1"/>
  <c r="E6" i="22" s="1"/>
  <c r="H59" i="10"/>
  <c r="J91" i="1" s="1"/>
  <c r="C14" i="20" s="1"/>
  <c r="F30" i="10"/>
  <c r="H71" i="1" s="1"/>
  <c r="H418" i="10"/>
  <c r="H43" i="10" s="1"/>
  <c r="H420" i="1" s="1"/>
  <c r="I54" i="11"/>
  <c r="F142" i="7"/>
  <c r="J144" i="7"/>
  <c r="F146" i="7"/>
  <c r="H147" i="7"/>
  <c r="J148" i="7"/>
  <c r="F150" i="7"/>
  <c r="H151" i="7"/>
  <c r="J152" i="7"/>
  <c r="F154" i="7"/>
  <c r="H155" i="7"/>
  <c r="F158" i="7"/>
  <c r="H159" i="7"/>
  <c r="J160" i="7"/>
  <c r="F162" i="7"/>
  <c r="H163" i="7"/>
  <c r="F166" i="7"/>
  <c r="H167" i="7"/>
  <c r="J168" i="7"/>
  <c r="F170" i="7"/>
  <c r="H171" i="7"/>
  <c r="J172" i="7"/>
  <c r="F174" i="7"/>
  <c r="H175" i="7"/>
  <c r="J176" i="7"/>
  <c r="F178" i="7"/>
  <c r="H179" i="7"/>
  <c r="J180" i="7"/>
  <c r="F182" i="7"/>
  <c r="H183" i="7"/>
  <c r="E584" i="8"/>
  <c r="I582" i="8"/>
  <c r="G581" i="8"/>
  <c r="E580" i="8"/>
  <c r="I578" i="8"/>
  <c r="G577" i="8"/>
  <c r="E576" i="8"/>
  <c r="I574" i="8"/>
  <c r="G573" i="8"/>
  <c r="E572" i="8"/>
  <c r="I570" i="8"/>
  <c r="G569" i="8"/>
  <c r="E568" i="8"/>
  <c r="I566" i="8"/>
  <c r="G565" i="8"/>
  <c r="E564" i="8"/>
  <c r="I562" i="8"/>
  <c r="G561" i="8"/>
  <c r="E560" i="8"/>
  <c r="I558" i="8"/>
  <c r="G557" i="8"/>
  <c r="E556" i="8"/>
  <c r="I554" i="8"/>
  <c r="G553" i="8"/>
  <c r="E552" i="8"/>
  <c r="I550" i="8"/>
  <c r="G549" i="8"/>
  <c r="E548" i="8"/>
  <c r="I546" i="8"/>
  <c r="G545" i="8"/>
  <c r="E544" i="8"/>
  <c r="I584" i="8"/>
  <c r="G583" i="8"/>
  <c r="E582" i="8"/>
  <c r="I580" i="8"/>
  <c r="G579" i="8"/>
  <c r="E578" i="8"/>
  <c r="I576" i="8"/>
  <c r="G575" i="8"/>
  <c r="E574" i="8"/>
  <c r="I572" i="8"/>
  <c r="G571" i="8"/>
  <c r="E570" i="8"/>
  <c r="I568" i="8"/>
  <c r="G567" i="8"/>
  <c r="E566" i="8"/>
  <c r="I564" i="8"/>
  <c r="G563" i="8"/>
  <c r="E562" i="8"/>
  <c r="I560" i="8"/>
  <c r="G559" i="8"/>
  <c r="E558" i="8"/>
  <c r="I556" i="8"/>
  <c r="G555" i="8"/>
  <c r="E554" i="8"/>
  <c r="I552" i="8"/>
  <c r="G551" i="8"/>
  <c r="E550" i="8"/>
  <c r="I548" i="8"/>
  <c r="G547" i="8"/>
  <c r="E546" i="8"/>
  <c r="I544" i="8"/>
  <c r="G543" i="8"/>
  <c r="I504" i="8"/>
  <c r="I56" i="8" s="1"/>
  <c r="E543" i="8"/>
  <c r="E585" i="8" s="1"/>
  <c r="J544" i="8"/>
  <c r="H546" i="8"/>
  <c r="G548" i="8"/>
  <c r="F550" i="8"/>
  <c r="J551" i="8"/>
  <c r="I553" i="8"/>
  <c r="H555" i="8"/>
  <c r="F557" i="8"/>
  <c r="E559" i="8"/>
  <c r="J560" i="8"/>
  <c r="H562" i="8"/>
  <c r="G564" i="8"/>
  <c r="F566" i="8"/>
  <c r="J567" i="8"/>
  <c r="I569" i="8"/>
  <c r="H571" i="8"/>
  <c r="F573" i="8"/>
  <c r="E575" i="8"/>
  <c r="J576" i="8"/>
  <c r="H578" i="8"/>
  <c r="G580" i="8"/>
  <c r="F582" i="8"/>
  <c r="J583" i="8"/>
  <c r="I70" i="9"/>
  <c r="I81" i="9" s="1"/>
  <c r="H154" i="9"/>
  <c r="H147" i="9"/>
  <c r="H188" i="9" s="1"/>
  <c r="J30" i="10"/>
  <c r="L71" i="1" s="1"/>
  <c r="J204" i="10"/>
  <c r="J266" i="10"/>
  <c r="J326" i="10" s="1"/>
  <c r="J391" i="10" s="1"/>
  <c r="E456" i="10"/>
  <c r="E462" i="10"/>
  <c r="F468" i="10"/>
  <c r="F474" i="10"/>
  <c r="G480" i="10"/>
  <c r="H486" i="10"/>
  <c r="F493" i="10"/>
  <c r="J38" i="11"/>
  <c r="L72" i="1" s="1"/>
  <c r="F145" i="7"/>
  <c r="J147" i="7"/>
  <c r="F149" i="7"/>
  <c r="H150" i="7"/>
  <c r="J151" i="7"/>
  <c r="F153" i="7"/>
  <c r="H154" i="7"/>
  <c r="J155" i="7"/>
  <c r="F157" i="7"/>
  <c r="H158" i="7"/>
  <c r="J159" i="7"/>
  <c r="F161" i="7"/>
  <c r="H162" i="7"/>
  <c r="J163" i="7"/>
  <c r="F165" i="7"/>
  <c r="H166" i="7"/>
  <c r="J167" i="7"/>
  <c r="F169" i="7"/>
  <c r="H170" i="7"/>
  <c r="J171" i="7"/>
  <c r="F173" i="7"/>
  <c r="H174" i="7"/>
  <c r="J175" i="7"/>
  <c r="F177" i="7"/>
  <c r="H178" i="7"/>
  <c r="J179" i="7"/>
  <c r="F181" i="7"/>
  <c r="H182" i="7"/>
  <c r="J183" i="7"/>
  <c r="I320" i="8"/>
  <c r="I527" i="8" s="1"/>
  <c r="E504" i="8"/>
  <c r="E56" i="8" s="1"/>
  <c r="E60" i="8" s="1"/>
  <c r="H543" i="8"/>
  <c r="F545" i="8"/>
  <c r="E547" i="8"/>
  <c r="J548" i="8"/>
  <c r="H550" i="8"/>
  <c r="G552" i="8"/>
  <c r="F554" i="8"/>
  <c r="J555" i="8"/>
  <c r="I557" i="8"/>
  <c r="H559" i="8"/>
  <c r="F561" i="8"/>
  <c r="E563" i="8"/>
  <c r="J564" i="8"/>
  <c r="H566" i="8"/>
  <c r="G568" i="8"/>
  <c r="F570" i="8"/>
  <c r="J571" i="8"/>
  <c r="I573" i="8"/>
  <c r="H575" i="8"/>
  <c r="F577" i="8"/>
  <c r="E579" i="8"/>
  <c r="J580" i="8"/>
  <c r="H582" i="8"/>
  <c r="G584" i="8"/>
  <c r="J154" i="9"/>
  <c r="J80" i="9"/>
  <c r="I121" i="9"/>
  <c r="I122" i="9" s="1"/>
  <c r="I34" i="9" s="1"/>
  <c r="I39" i="9" s="1"/>
  <c r="J147" i="9"/>
  <c r="J441" i="10"/>
  <c r="J46" i="10" s="1"/>
  <c r="E437" i="10"/>
  <c r="E175" i="10"/>
  <c r="G449" i="10"/>
  <c r="G457" i="10"/>
  <c r="G463" i="10"/>
  <c r="H469" i="10"/>
  <c r="H475" i="10"/>
  <c r="I481" i="10"/>
  <c r="I62" i="11"/>
  <c r="E319" i="11"/>
  <c r="E49" i="11" s="1"/>
  <c r="G342" i="11"/>
  <c r="E493" i="10"/>
  <c r="I491" i="10"/>
  <c r="G490" i="10"/>
  <c r="E489" i="10"/>
  <c r="I487" i="10"/>
  <c r="G486" i="10"/>
  <c r="E485" i="10"/>
  <c r="I483" i="10"/>
  <c r="G482" i="10"/>
  <c r="E481" i="10"/>
  <c r="I479" i="10"/>
  <c r="G478" i="10"/>
  <c r="E477" i="10"/>
  <c r="I475" i="10"/>
  <c r="G474" i="10"/>
  <c r="E473" i="10"/>
  <c r="I471" i="10"/>
  <c r="G470" i="10"/>
  <c r="E469" i="10"/>
  <c r="I467" i="10"/>
  <c r="G466" i="10"/>
  <c r="E465" i="10"/>
  <c r="I463" i="10"/>
  <c r="G462" i="10"/>
  <c r="E461" i="10"/>
  <c r="I459" i="10"/>
  <c r="G458" i="10"/>
  <c r="E457" i="10"/>
  <c r="I455" i="10"/>
  <c r="G454" i="10"/>
  <c r="E453" i="10"/>
  <c r="I493" i="10"/>
  <c r="G492" i="10"/>
  <c r="E491" i="10"/>
  <c r="I489" i="10"/>
  <c r="F492" i="10"/>
  <c r="H490" i="10"/>
  <c r="I488" i="10"/>
  <c r="F487" i="10"/>
  <c r="I485" i="10"/>
  <c r="F484" i="10"/>
  <c r="I482" i="10"/>
  <c r="F481" i="10"/>
  <c r="H479" i="10"/>
  <c r="E478" i="10"/>
  <c r="H476" i="10"/>
  <c r="E475" i="10"/>
  <c r="H473" i="10"/>
  <c r="E472" i="10"/>
  <c r="H470" i="10"/>
  <c r="J468" i="10"/>
  <c r="G467" i="10"/>
  <c r="J465" i="10"/>
  <c r="G464" i="10"/>
  <c r="J462" i="10"/>
  <c r="G461" i="10"/>
  <c r="J459" i="10"/>
  <c r="F458" i="10"/>
  <c r="I456" i="10"/>
  <c r="F455" i="10"/>
  <c r="I453" i="10"/>
  <c r="J493" i="10"/>
  <c r="E492" i="10"/>
  <c r="F490" i="10"/>
  <c r="H488" i="10"/>
  <c r="E487" i="10"/>
  <c r="H485" i="10"/>
  <c r="E484" i="10"/>
  <c r="H482" i="10"/>
  <c r="J480" i="10"/>
  <c r="G479" i="10"/>
  <c r="J477" i="10"/>
  <c r="G476" i="10"/>
  <c r="J474" i="10"/>
  <c r="G473" i="10"/>
  <c r="J471" i="10"/>
  <c r="F470" i="10"/>
  <c r="I468" i="10"/>
  <c r="F467" i="10"/>
  <c r="I465" i="10"/>
  <c r="F464" i="10"/>
  <c r="I462" i="10"/>
  <c r="F461" i="10"/>
  <c r="H459" i="10"/>
  <c r="E458" i="10"/>
  <c r="H456" i="10"/>
  <c r="E455" i="10"/>
  <c r="H453" i="10"/>
  <c r="H493" i="10"/>
  <c r="J491" i="10"/>
  <c r="E490" i="10"/>
  <c r="G488" i="10"/>
  <c r="J486" i="10"/>
  <c r="G485" i="10"/>
  <c r="J483" i="10"/>
  <c r="F482" i="10"/>
  <c r="I480" i="10"/>
  <c r="F479" i="10"/>
  <c r="I477" i="10"/>
  <c r="F476" i="10"/>
  <c r="I474" i="10"/>
  <c r="F473" i="10"/>
  <c r="H471" i="10"/>
  <c r="E470" i="10"/>
  <c r="H468" i="10"/>
  <c r="E467" i="10"/>
  <c r="H465" i="10"/>
  <c r="E464" i="10"/>
  <c r="H462" i="10"/>
  <c r="J460" i="10"/>
  <c r="G459" i="10"/>
  <c r="J457" i="10"/>
  <c r="G456" i="10"/>
  <c r="J454" i="10"/>
  <c r="G453" i="10"/>
  <c r="I492" i="10"/>
  <c r="J490" i="10"/>
  <c r="F489" i="10"/>
  <c r="H487" i="10"/>
  <c r="E486" i="10"/>
  <c r="H484" i="10"/>
  <c r="E483" i="10"/>
  <c r="H481" i="10"/>
  <c r="E480" i="10"/>
  <c r="H478" i="10"/>
  <c r="J476" i="10"/>
  <c r="G475" i="10"/>
  <c r="J473" i="10"/>
  <c r="G472" i="10"/>
  <c r="J470" i="10"/>
  <c r="G469" i="10"/>
  <c r="J467" i="10"/>
  <c r="F466" i="10"/>
  <c r="I464" i="10"/>
  <c r="F463" i="10"/>
  <c r="I461" i="10"/>
  <c r="F460" i="10"/>
  <c r="I458" i="10"/>
  <c r="F457" i="10"/>
  <c r="H455" i="10"/>
  <c r="E454" i="10"/>
  <c r="J492" i="10"/>
  <c r="G489" i="10"/>
  <c r="F486" i="10"/>
  <c r="F483" i="10"/>
  <c r="F480" i="10"/>
  <c r="F477" i="10"/>
  <c r="E474" i="10"/>
  <c r="E471" i="10"/>
  <c r="E468" i="10"/>
  <c r="J464" i="10"/>
  <c r="J461" i="10"/>
  <c r="J458" i="10"/>
  <c r="J455" i="10"/>
  <c r="H492" i="10"/>
  <c r="J488" i="10"/>
  <c r="J485" i="10"/>
  <c r="J482" i="10"/>
  <c r="J479" i="10"/>
  <c r="I476" i="10"/>
  <c r="I473" i="10"/>
  <c r="I470" i="10"/>
  <c r="H467" i="10"/>
  <c r="H464" i="10"/>
  <c r="H461" i="10"/>
  <c r="H458" i="10"/>
  <c r="G455" i="10"/>
  <c r="G491" i="10"/>
  <c r="E488" i="10"/>
  <c r="J484" i="10"/>
  <c r="J481" i="10"/>
  <c r="J478" i="10"/>
  <c r="J475" i="10"/>
  <c r="I472" i="10"/>
  <c r="I469" i="10"/>
  <c r="I466" i="10"/>
  <c r="H463" i="10"/>
  <c r="H460" i="10"/>
  <c r="H457" i="10"/>
  <c r="H454" i="10"/>
  <c r="I490" i="10"/>
  <c r="G487" i="10"/>
  <c r="G484" i="10"/>
  <c r="G481" i="10"/>
  <c r="F478" i="10"/>
  <c r="F475" i="10"/>
  <c r="F472" i="10"/>
  <c r="F469" i="10"/>
  <c r="E466" i="10"/>
  <c r="E463" i="10"/>
  <c r="E460" i="10"/>
  <c r="J456" i="10"/>
  <c r="J453" i="10"/>
  <c r="G494" i="10"/>
  <c r="E494" i="10"/>
  <c r="H494" i="10"/>
  <c r="J494" i="10"/>
  <c r="F494" i="10"/>
  <c r="I59" i="10"/>
  <c r="K91" i="1" s="1"/>
  <c r="I425" i="10"/>
  <c r="I44" i="10" s="1"/>
  <c r="I449" i="10"/>
  <c r="I160" i="10"/>
  <c r="I175" i="10" s="1"/>
  <c r="I234" i="10"/>
  <c r="I241" i="10" s="1"/>
  <c r="E439" i="10"/>
  <c r="E301" i="10"/>
  <c r="H449" i="10"/>
  <c r="I457" i="10"/>
  <c r="J463" i="10"/>
  <c r="J469" i="10"/>
  <c r="E476" i="10"/>
  <c r="E482" i="10"/>
  <c r="F488" i="10"/>
  <c r="E325" i="11"/>
  <c r="E50" i="11" s="1"/>
  <c r="E52" i="12"/>
  <c r="H165" i="7"/>
  <c r="J166" i="7"/>
  <c r="F168" i="7"/>
  <c r="H169" i="7"/>
  <c r="J170" i="7"/>
  <c r="F172" i="7"/>
  <c r="H173" i="7"/>
  <c r="J174" i="7"/>
  <c r="F176" i="7"/>
  <c r="H177" i="7"/>
  <c r="J178" i="7"/>
  <c r="F180" i="7"/>
  <c r="H181" i="7"/>
  <c r="H89" i="8"/>
  <c r="H103" i="8" s="1"/>
  <c r="E451" i="8"/>
  <c r="H406" i="10"/>
  <c r="H411" i="10" s="1"/>
  <c r="H42" i="10" s="1"/>
  <c r="H81" i="10"/>
  <c r="H98" i="10" s="1"/>
  <c r="H441" i="10"/>
  <c r="H46" i="10" s="1"/>
  <c r="K420" i="1" s="1"/>
  <c r="I433" i="10"/>
  <c r="I45" i="10" s="1"/>
  <c r="I409" i="10"/>
  <c r="I294" i="10"/>
  <c r="I301" i="10" s="1"/>
  <c r="E459" i="10"/>
  <c r="F465" i="10"/>
  <c r="F471" i="10"/>
  <c r="G477" i="10"/>
  <c r="G483" i="10"/>
  <c r="H489" i="10"/>
  <c r="E331" i="11"/>
  <c r="E51" i="11" s="1"/>
  <c r="H651" i="12"/>
  <c r="H652" i="12" s="1"/>
  <c r="H49" i="12" s="1"/>
  <c r="I422" i="1" s="1"/>
  <c r="H576" i="12"/>
  <c r="H589" i="12" s="1"/>
  <c r="J294" i="10"/>
  <c r="J301" i="10" s="1"/>
  <c r="G361" i="10"/>
  <c r="G440" i="10"/>
  <c r="G441" i="10" s="1"/>
  <c r="G46" i="10" s="1"/>
  <c r="F411" i="10"/>
  <c r="F42" i="10" s="1"/>
  <c r="F47" i="10" s="1"/>
  <c r="I407" i="10"/>
  <c r="I411" i="10" s="1"/>
  <c r="I42" i="10" s="1"/>
  <c r="F453" i="10"/>
  <c r="F459" i="10"/>
  <c r="G465" i="10"/>
  <c r="G471" i="10"/>
  <c r="H477" i="10"/>
  <c r="H483" i="10"/>
  <c r="J489" i="10"/>
  <c r="G325" i="11"/>
  <c r="G50" i="11" s="1"/>
  <c r="I400" i="11"/>
  <c r="J149" i="9"/>
  <c r="H121" i="9"/>
  <c r="H122" i="9" s="1"/>
  <c r="H34" i="9" s="1"/>
  <c r="G30" i="10"/>
  <c r="I71" i="1" s="1"/>
  <c r="I441" i="10"/>
  <c r="I46" i="10" s="1"/>
  <c r="H361" i="10"/>
  <c r="J377" i="10"/>
  <c r="J433" i="10"/>
  <c r="J45" i="10" s="1"/>
  <c r="F331" i="11"/>
  <c r="F51" i="11" s="1"/>
  <c r="I30" i="10"/>
  <c r="K71" i="1" s="1"/>
  <c r="E59" i="10"/>
  <c r="G91" i="1" s="1"/>
  <c r="G98" i="1" s="1"/>
  <c r="G20" i="1" s="1"/>
  <c r="J160" i="10"/>
  <c r="J175" i="10" s="1"/>
  <c r="J353" i="10"/>
  <c r="J361" i="10" s="1"/>
  <c r="J410" i="10"/>
  <c r="E411" i="10"/>
  <c r="E42" i="10" s="1"/>
  <c r="H425" i="10"/>
  <c r="H44" i="10" s="1"/>
  <c r="I420" i="1" s="1"/>
  <c r="I417" i="10"/>
  <c r="I418" i="10" s="1"/>
  <c r="I43" i="10" s="1"/>
  <c r="I353" i="10"/>
  <c r="I361" i="10" s="1"/>
  <c r="E361" i="10"/>
  <c r="F418" i="10"/>
  <c r="F43" i="10" s="1"/>
  <c r="G425" i="10"/>
  <c r="G44" i="10" s="1"/>
  <c r="G62" i="11"/>
  <c r="G45" i="11"/>
  <c r="I131" i="1" s="1"/>
  <c r="I345" i="11"/>
  <c r="I53" i="11" s="1"/>
  <c r="F276" i="11"/>
  <c r="G319" i="11"/>
  <c r="G49" i="11" s="1"/>
  <c r="G345" i="11"/>
  <c r="G53" i="11" s="1"/>
  <c r="H629" i="12"/>
  <c r="H634" i="12" s="1"/>
  <c r="H47" i="12" s="1"/>
  <c r="H268" i="12"/>
  <c r="H281" i="12" s="1"/>
  <c r="J647" i="12"/>
  <c r="J652" i="12" s="1"/>
  <c r="J49" i="12" s="1"/>
  <c r="J268" i="12"/>
  <c r="J281" i="12" s="1"/>
  <c r="I642" i="12"/>
  <c r="I576" i="12"/>
  <c r="I589" i="12" s="1"/>
  <c r="E449" i="10"/>
  <c r="H234" i="10"/>
  <c r="H241" i="10" s="1"/>
  <c r="H408" i="10"/>
  <c r="F433" i="10"/>
  <c r="F45" i="10" s="1"/>
  <c r="H96" i="11"/>
  <c r="J345" i="11"/>
  <c r="J53" i="11" s="1"/>
  <c r="H338" i="11"/>
  <c r="H52" i="11" s="1"/>
  <c r="J421" i="1" s="1"/>
  <c r="L421" i="1" s="1"/>
  <c r="F553" i="12"/>
  <c r="F483" i="12"/>
  <c r="F389" i="12"/>
  <c r="F309" i="12"/>
  <c r="F243" i="12"/>
  <c r="F614" i="12"/>
  <c r="F319" i="11"/>
  <c r="F49" i="11" s="1"/>
  <c r="F54" i="11" s="1"/>
  <c r="J400" i="11"/>
  <c r="F33" i="12"/>
  <c r="H73" i="1" s="1"/>
  <c r="H116" i="12"/>
  <c r="I670" i="12"/>
  <c r="I51" i="12" s="1"/>
  <c r="I281" i="12"/>
  <c r="H631" i="12"/>
  <c r="H433" i="12"/>
  <c r="H446" i="12" s="1"/>
  <c r="F695" i="12"/>
  <c r="J718" i="12"/>
  <c r="H630" i="12"/>
  <c r="H350" i="12"/>
  <c r="H364" i="12" s="1"/>
  <c r="H699" i="12"/>
  <c r="J100" i="12"/>
  <c r="J116" i="12" s="1"/>
  <c r="J627" i="12"/>
  <c r="I661" i="12"/>
  <c r="I50" i="12" s="1"/>
  <c r="J115" i="12"/>
  <c r="J663" i="12" s="1"/>
  <c r="J670" i="12" s="1"/>
  <c r="J51" i="12" s="1"/>
  <c r="D28" i="22"/>
  <c r="F685" i="12"/>
  <c r="F702" i="12"/>
  <c r="J81" i="10"/>
  <c r="J98" i="10" s="1"/>
  <c r="G204" i="10"/>
  <c r="H153" i="11"/>
  <c r="J319" i="11"/>
  <c r="J49" i="11" s="1"/>
  <c r="F400" i="11"/>
  <c r="F77" i="12"/>
  <c r="H93" i="1" s="1"/>
  <c r="H98" i="1" s="1"/>
  <c r="H20" i="1" s="1"/>
  <c r="H33" i="12"/>
  <c r="J73" i="1" s="1"/>
  <c r="H643" i="12"/>
  <c r="H48" i="12" s="1"/>
  <c r="H422" i="1" s="1"/>
  <c r="J661" i="12"/>
  <c r="J50" i="12" s="1"/>
  <c r="H185" i="12"/>
  <c r="H195" i="12" s="1"/>
  <c r="I686" i="12"/>
  <c r="J703" i="12"/>
  <c r="H196" i="13"/>
  <c r="H266" i="10"/>
  <c r="H326" i="10" s="1"/>
  <c r="H391" i="10" s="1"/>
  <c r="F345" i="11"/>
  <c r="F53" i="11" s="1"/>
  <c r="J331" i="11"/>
  <c r="J51" i="11" s="1"/>
  <c r="G400" i="11"/>
  <c r="I636" i="12"/>
  <c r="I643" i="12" s="1"/>
  <c r="I48" i="12" s="1"/>
  <c r="I100" i="12"/>
  <c r="I116" i="12" s="1"/>
  <c r="J195" i="12"/>
  <c r="F670" i="12"/>
  <c r="F51" i="12" s="1"/>
  <c r="G689" i="12"/>
  <c r="H631" i="13"/>
  <c r="H64" i="13" s="1"/>
  <c r="K423" i="1" s="1"/>
  <c r="H352" i="11"/>
  <c r="H400" i="11"/>
  <c r="J643" i="12"/>
  <c r="J48" i="12" s="1"/>
  <c r="J131" i="12"/>
  <c r="I628" i="12"/>
  <c r="I185" i="12"/>
  <c r="I195" i="12" s="1"/>
  <c r="J690" i="12"/>
  <c r="I592" i="13"/>
  <c r="I400" i="13"/>
  <c r="I409" i="13" s="1"/>
  <c r="H619" i="13"/>
  <c r="H400" i="13"/>
  <c r="H409" i="13" s="1"/>
  <c r="E28" i="22"/>
  <c r="J350" i="12"/>
  <c r="J364" i="12" s="1"/>
  <c r="F686" i="12"/>
  <c r="H690" i="12"/>
  <c r="I694" i="12"/>
  <c r="J698" i="12"/>
  <c r="F703" i="12"/>
  <c r="H708" i="12"/>
  <c r="F717" i="12"/>
  <c r="G65" i="13"/>
  <c r="E685" i="13"/>
  <c r="I683" i="13"/>
  <c r="G682" i="13"/>
  <c r="E681" i="13"/>
  <c r="I679" i="13"/>
  <c r="G678" i="13"/>
  <c r="E677" i="13"/>
  <c r="I675" i="13"/>
  <c r="G674" i="13"/>
  <c r="E673" i="13"/>
  <c r="I671" i="13"/>
  <c r="G670" i="13"/>
  <c r="E669" i="13"/>
  <c r="I667" i="13"/>
  <c r="G666" i="13"/>
  <c r="E665" i="13"/>
  <c r="I663" i="13"/>
  <c r="G662" i="13"/>
  <c r="E661" i="13"/>
  <c r="I659" i="13"/>
  <c r="G658" i="13"/>
  <c r="E657" i="13"/>
  <c r="I655" i="13"/>
  <c r="G654" i="13"/>
  <c r="E653" i="13"/>
  <c r="I651" i="13"/>
  <c r="G650" i="13"/>
  <c r="E649" i="13"/>
  <c r="I647" i="13"/>
  <c r="G646" i="13"/>
  <c r="E645" i="13"/>
  <c r="J685" i="13"/>
  <c r="H684" i="13"/>
  <c r="F683" i="13"/>
  <c r="J681" i="13"/>
  <c r="H680" i="13"/>
  <c r="F679" i="13"/>
  <c r="J677" i="13"/>
  <c r="H676" i="13"/>
  <c r="F675" i="13"/>
  <c r="J673" i="13"/>
  <c r="H672" i="13"/>
  <c r="F671" i="13"/>
  <c r="J669" i="13"/>
  <c r="H668" i="13"/>
  <c r="F667" i="13"/>
  <c r="J665" i="13"/>
  <c r="H664" i="13"/>
  <c r="F663" i="13"/>
  <c r="J661" i="13"/>
  <c r="H660" i="13"/>
  <c r="F659" i="13"/>
  <c r="J657" i="13"/>
  <c r="H656" i="13"/>
  <c r="F655" i="13"/>
  <c r="J653" i="13"/>
  <c r="H652" i="13"/>
  <c r="F651" i="13"/>
  <c r="J649" i="13"/>
  <c r="H648" i="13"/>
  <c r="F647" i="13"/>
  <c r="J645" i="13"/>
  <c r="I685" i="13"/>
  <c r="E684" i="13"/>
  <c r="F682" i="13"/>
  <c r="G680" i="13"/>
  <c r="I678" i="13"/>
  <c r="J676" i="13"/>
  <c r="E675" i="13"/>
  <c r="G673" i="13"/>
  <c r="H671" i="13"/>
  <c r="I669" i="13"/>
  <c r="E668" i="13"/>
  <c r="F666" i="13"/>
  <c r="G664" i="13"/>
  <c r="I662" i="13"/>
  <c r="J660" i="13"/>
  <c r="E659" i="13"/>
  <c r="G657" i="13"/>
  <c r="H655" i="13"/>
  <c r="I653" i="13"/>
  <c r="E652" i="13"/>
  <c r="F650" i="13"/>
  <c r="G648" i="13"/>
  <c r="I646" i="13"/>
  <c r="J644" i="13"/>
  <c r="F685" i="13"/>
  <c r="G683" i="13"/>
  <c r="H681" i="13"/>
  <c r="J679" i="13"/>
  <c r="E678" i="13"/>
  <c r="F676" i="13"/>
  <c r="H674" i="13"/>
  <c r="I672" i="13"/>
  <c r="J670" i="13"/>
  <c r="F669" i="13"/>
  <c r="G667" i="13"/>
  <c r="H665" i="13"/>
  <c r="J663" i="13"/>
  <c r="E662" i="13"/>
  <c r="F660" i="13"/>
  <c r="H658" i="13"/>
  <c r="I656" i="13"/>
  <c r="J654" i="13"/>
  <c r="F653" i="13"/>
  <c r="G651" i="13"/>
  <c r="H649" i="13"/>
  <c r="J647" i="13"/>
  <c r="E646" i="13"/>
  <c r="G644" i="13"/>
  <c r="I684" i="13"/>
  <c r="J682" i="13"/>
  <c r="F681" i="13"/>
  <c r="G679" i="13"/>
  <c r="H677" i="13"/>
  <c r="J675" i="13"/>
  <c r="E674" i="13"/>
  <c r="F672" i="13"/>
  <c r="H670" i="13"/>
  <c r="I668" i="13"/>
  <c r="J666" i="13"/>
  <c r="F665" i="13"/>
  <c r="G663" i="13"/>
  <c r="H661" i="13"/>
  <c r="J659" i="13"/>
  <c r="E658" i="13"/>
  <c r="F656" i="13"/>
  <c r="H654" i="13"/>
  <c r="I652" i="13"/>
  <c r="J650" i="13"/>
  <c r="F649" i="13"/>
  <c r="G647" i="13"/>
  <c r="H645" i="13"/>
  <c r="E644" i="13"/>
  <c r="J684" i="13"/>
  <c r="E682" i="13"/>
  <c r="E679" i="13"/>
  <c r="G676" i="13"/>
  <c r="H673" i="13"/>
  <c r="I670" i="13"/>
  <c r="J667" i="13"/>
  <c r="J664" i="13"/>
  <c r="F662" i="13"/>
  <c r="G659" i="13"/>
  <c r="G656" i="13"/>
  <c r="H653" i="13"/>
  <c r="I650" i="13"/>
  <c r="E648" i="13"/>
  <c r="F645" i="13"/>
  <c r="F684" i="13"/>
  <c r="G681" i="13"/>
  <c r="H678" i="13"/>
  <c r="H675" i="13"/>
  <c r="J672" i="13"/>
  <c r="E670" i="13"/>
  <c r="E667" i="13"/>
  <c r="F664" i="13"/>
  <c r="G661" i="13"/>
  <c r="I658" i="13"/>
  <c r="J655" i="13"/>
  <c r="J652" i="13"/>
  <c r="E650" i="13"/>
  <c r="E647" i="13"/>
  <c r="H644" i="13"/>
  <c r="J683" i="13"/>
  <c r="J680" i="13"/>
  <c r="F678" i="13"/>
  <c r="G675" i="13"/>
  <c r="G672" i="13"/>
  <c r="H669" i="13"/>
  <c r="I666" i="13"/>
  <c r="E664" i="13"/>
  <c r="F661" i="13"/>
  <c r="F658" i="13"/>
  <c r="G655" i="13"/>
  <c r="G652" i="13"/>
  <c r="I649" i="13"/>
  <c r="J646" i="13"/>
  <c r="F644" i="13"/>
  <c r="H683" i="13"/>
  <c r="I680" i="13"/>
  <c r="I677" i="13"/>
  <c r="J674" i="13"/>
  <c r="E672" i="13"/>
  <c r="G669" i="13"/>
  <c r="H666" i="13"/>
  <c r="H663" i="13"/>
  <c r="I660" i="13"/>
  <c r="I657" i="13"/>
  <c r="E655" i="13"/>
  <c r="F652" i="13"/>
  <c r="G649" i="13"/>
  <c r="H646" i="13"/>
  <c r="H685" i="13"/>
  <c r="I682" i="13"/>
  <c r="E680" i="13"/>
  <c r="F677" i="13"/>
  <c r="F674" i="13"/>
  <c r="G671" i="13"/>
  <c r="G668" i="13"/>
  <c r="I665" i="13"/>
  <c r="J662" i="13"/>
  <c r="E660" i="13"/>
  <c r="F657" i="13"/>
  <c r="F654" i="13"/>
  <c r="H651" i="13"/>
  <c r="I648" i="13"/>
  <c r="I645" i="13"/>
  <c r="J678" i="13"/>
  <c r="E671" i="13"/>
  <c r="E663" i="13"/>
  <c r="E656" i="13"/>
  <c r="F648" i="13"/>
  <c r="G685" i="13"/>
  <c r="G677" i="13"/>
  <c r="F670" i="13"/>
  <c r="H662" i="13"/>
  <c r="I654" i="13"/>
  <c r="H647" i="13"/>
  <c r="G684" i="13"/>
  <c r="I676" i="13"/>
  <c r="J668" i="13"/>
  <c r="I661" i="13"/>
  <c r="E654" i="13"/>
  <c r="F646" i="13"/>
  <c r="E683" i="13"/>
  <c r="E676" i="13"/>
  <c r="F668" i="13"/>
  <c r="G660" i="13"/>
  <c r="G653" i="13"/>
  <c r="G645" i="13"/>
  <c r="H682" i="13"/>
  <c r="I674" i="13"/>
  <c r="H667" i="13"/>
  <c r="H659" i="13"/>
  <c r="J651" i="13"/>
  <c r="I644" i="13"/>
  <c r="I681" i="13"/>
  <c r="I673" i="13"/>
  <c r="E666" i="13"/>
  <c r="J658" i="13"/>
  <c r="E651" i="13"/>
  <c r="F625" i="13"/>
  <c r="F196" i="13"/>
  <c r="J332" i="13"/>
  <c r="J341" i="13" s="1"/>
  <c r="J600" i="13"/>
  <c r="J648" i="13"/>
  <c r="H679" i="13"/>
  <c r="E495" i="14"/>
  <c r="I725" i="12"/>
  <c r="G724" i="12"/>
  <c r="E723" i="12"/>
  <c r="I721" i="12"/>
  <c r="G720" i="12"/>
  <c r="E719" i="12"/>
  <c r="I717" i="12"/>
  <c r="G716" i="12"/>
  <c r="E715" i="12"/>
  <c r="I713" i="12"/>
  <c r="G712" i="12"/>
  <c r="E711" i="12"/>
  <c r="I709" i="12"/>
  <c r="G708" i="12"/>
  <c r="E707" i="12"/>
  <c r="I705" i="12"/>
  <c r="G704" i="12"/>
  <c r="E703" i="12"/>
  <c r="I701" i="12"/>
  <c r="G700" i="12"/>
  <c r="E699" i="12"/>
  <c r="I697" i="12"/>
  <c r="G696" i="12"/>
  <c r="E695" i="12"/>
  <c r="I693" i="12"/>
  <c r="G692" i="12"/>
  <c r="E691" i="12"/>
  <c r="I689" i="12"/>
  <c r="G688" i="12"/>
  <c r="E687" i="12"/>
  <c r="I685" i="12"/>
  <c r="G684" i="12"/>
  <c r="E683" i="12"/>
  <c r="G726" i="12"/>
  <c r="E725" i="12"/>
  <c r="I723" i="12"/>
  <c r="G722" i="12"/>
  <c r="E721" i="12"/>
  <c r="I719" i="12"/>
  <c r="G718" i="12"/>
  <c r="E717" i="12"/>
  <c r="I715" i="12"/>
  <c r="G714" i="12"/>
  <c r="E713" i="12"/>
  <c r="I711" i="12"/>
  <c r="G710" i="12"/>
  <c r="E709" i="12"/>
  <c r="I707" i="12"/>
  <c r="G706" i="12"/>
  <c r="E705" i="12"/>
  <c r="I703" i="12"/>
  <c r="G702" i="12"/>
  <c r="E701" i="12"/>
  <c r="I699" i="12"/>
  <c r="G698" i="12"/>
  <c r="E697" i="12"/>
  <c r="I695" i="12"/>
  <c r="G694" i="12"/>
  <c r="E693" i="12"/>
  <c r="I691" i="12"/>
  <c r="G690" i="12"/>
  <c r="E689" i="12"/>
  <c r="I687" i="12"/>
  <c r="G686" i="12"/>
  <c r="E685" i="12"/>
  <c r="I683" i="12"/>
  <c r="E726" i="12"/>
  <c r="I724" i="12"/>
  <c r="G723" i="12"/>
  <c r="E722" i="12"/>
  <c r="I720" i="12"/>
  <c r="G719" i="12"/>
  <c r="E718" i="12"/>
  <c r="I716" i="12"/>
  <c r="G715" i="12"/>
  <c r="E714" i="12"/>
  <c r="I712" i="12"/>
  <c r="G711" i="12"/>
  <c r="E710" i="12"/>
  <c r="I708" i="12"/>
  <c r="G707" i="12"/>
  <c r="E706" i="12"/>
  <c r="I704" i="12"/>
  <c r="G703" i="12"/>
  <c r="E702" i="12"/>
  <c r="I700" i="12"/>
  <c r="G699" i="12"/>
  <c r="E698" i="12"/>
  <c r="I696" i="12"/>
  <c r="G695" i="12"/>
  <c r="E694" i="12"/>
  <c r="I692" i="12"/>
  <c r="G691" i="12"/>
  <c r="E690" i="12"/>
  <c r="I688" i="12"/>
  <c r="G687" i="12"/>
  <c r="E686" i="12"/>
  <c r="I684" i="12"/>
  <c r="G683" i="12"/>
  <c r="F725" i="12"/>
  <c r="J722" i="12"/>
  <c r="J720" i="12"/>
  <c r="I718" i="12"/>
  <c r="H716" i="12"/>
  <c r="H714" i="12"/>
  <c r="F712" i="12"/>
  <c r="F710" i="12"/>
  <c r="E708" i="12"/>
  <c r="J705" i="12"/>
  <c r="J726" i="12"/>
  <c r="J724" i="12"/>
  <c r="I722" i="12"/>
  <c r="H720" i="12"/>
  <c r="H718" i="12"/>
  <c r="F716" i="12"/>
  <c r="F714" i="12"/>
  <c r="E712" i="12"/>
  <c r="J709" i="12"/>
  <c r="J707" i="12"/>
  <c r="H705" i="12"/>
  <c r="H703" i="12"/>
  <c r="G701" i="12"/>
  <c r="F699" i="12"/>
  <c r="F697" i="12"/>
  <c r="J694" i="12"/>
  <c r="J692" i="12"/>
  <c r="I690" i="12"/>
  <c r="H688" i="12"/>
  <c r="H686" i="12"/>
  <c r="F684" i="12"/>
  <c r="I726" i="12"/>
  <c r="H724" i="12"/>
  <c r="H722" i="12"/>
  <c r="F720" i="12"/>
  <c r="F718" i="12"/>
  <c r="E716" i="12"/>
  <c r="J713" i="12"/>
  <c r="J711" i="12"/>
  <c r="H709" i="12"/>
  <c r="H707" i="12"/>
  <c r="H726" i="12"/>
  <c r="F724" i="12"/>
  <c r="F722" i="12"/>
  <c r="E720" i="12"/>
  <c r="J717" i="12"/>
  <c r="J715" i="12"/>
  <c r="H713" i="12"/>
  <c r="H711" i="12"/>
  <c r="G709" i="12"/>
  <c r="F707" i="12"/>
  <c r="F705" i="12"/>
  <c r="J702" i="12"/>
  <c r="J700" i="12"/>
  <c r="I698" i="12"/>
  <c r="H696" i="12"/>
  <c r="H694" i="12"/>
  <c r="F692" i="12"/>
  <c r="F690" i="12"/>
  <c r="E688" i="12"/>
  <c r="J685" i="12"/>
  <c r="J683" i="12"/>
  <c r="F726" i="12"/>
  <c r="E724" i="12"/>
  <c r="J721" i="12"/>
  <c r="J719" i="12"/>
  <c r="H717" i="12"/>
  <c r="H715" i="12"/>
  <c r="G713" i="12"/>
  <c r="F711" i="12"/>
  <c r="F709" i="12"/>
  <c r="J706" i="12"/>
  <c r="J704" i="12"/>
  <c r="I702" i="12"/>
  <c r="H700" i="12"/>
  <c r="H698" i="12"/>
  <c r="F696" i="12"/>
  <c r="F694" i="12"/>
  <c r="E692" i="12"/>
  <c r="J689" i="12"/>
  <c r="J687" i="12"/>
  <c r="H685" i="12"/>
  <c r="H683" i="12"/>
  <c r="J725" i="12"/>
  <c r="J723" i="12"/>
  <c r="H721" i="12"/>
  <c r="H719" i="12"/>
  <c r="G717" i="12"/>
  <c r="F715" i="12"/>
  <c r="F713" i="12"/>
  <c r="J710" i="12"/>
  <c r="J708" i="12"/>
  <c r="I706" i="12"/>
  <c r="H704" i="12"/>
  <c r="H702" i="12"/>
  <c r="F700" i="12"/>
  <c r="F698" i="12"/>
  <c r="E696" i="12"/>
  <c r="J693" i="12"/>
  <c r="J691" i="12"/>
  <c r="H689" i="12"/>
  <c r="H687" i="12"/>
  <c r="G685" i="12"/>
  <c r="F683" i="12"/>
  <c r="G309" i="12"/>
  <c r="G483" i="12"/>
  <c r="J686" i="12"/>
  <c r="F691" i="12"/>
  <c r="H695" i="12"/>
  <c r="J699" i="12"/>
  <c r="E704" i="12"/>
  <c r="I710" i="12"/>
  <c r="F719" i="12"/>
  <c r="J217" i="13"/>
  <c r="J656" i="13"/>
  <c r="I485" i="14"/>
  <c r="E670" i="12"/>
  <c r="E51" i="12" s="1"/>
  <c r="H389" i="12"/>
  <c r="H553" i="12"/>
  <c r="H614" i="12"/>
  <c r="G243" i="12"/>
  <c r="E364" i="12"/>
  <c r="F643" i="12"/>
  <c r="F48" i="12" s="1"/>
  <c r="F52" i="12" s="1"/>
  <c r="F687" i="12"/>
  <c r="H691" i="12"/>
  <c r="J695" i="12"/>
  <c r="E700" i="12"/>
  <c r="F704" i="12"/>
  <c r="H712" i="12"/>
  <c r="F721" i="12"/>
  <c r="J604" i="13"/>
  <c r="J61" i="13" s="1"/>
  <c r="H657" i="13"/>
  <c r="J190" i="14"/>
  <c r="E510" i="14"/>
  <c r="I652" i="12"/>
  <c r="I49" i="12" s="1"/>
  <c r="I614" i="12"/>
  <c r="I553" i="12"/>
  <c r="F679" i="12"/>
  <c r="E684" i="12"/>
  <c r="F688" i="12"/>
  <c r="H692" i="12"/>
  <c r="J696" i="12"/>
  <c r="F701" i="12"/>
  <c r="G705" i="12"/>
  <c r="J712" i="12"/>
  <c r="G721" i="12"/>
  <c r="G46" i="13"/>
  <c r="I74" i="1" s="1"/>
  <c r="I603" i="13"/>
  <c r="I534" i="13"/>
  <c r="I542" i="13" s="1"/>
  <c r="I664" i="13"/>
  <c r="G670" i="12"/>
  <c r="G51" i="12" s="1"/>
  <c r="J483" i="12"/>
  <c r="J553" i="12"/>
  <c r="I243" i="12"/>
  <c r="H483" i="12"/>
  <c r="I519" i="12"/>
  <c r="I530" i="12" s="1"/>
  <c r="J576" i="12"/>
  <c r="J589" i="12" s="1"/>
  <c r="F652" i="12"/>
  <c r="F49" i="12" s="1"/>
  <c r="G679" i="12"/>
  <c r="H684" i="12"/>
  <c r="J688" i="12"/>
  <c r="F693" i="12"/>
  <c r="G697" i="12"/>
  <c r="H701" i="12"/>
  <c r="F706" i="12"/>
  <c r="I714" i="12"/>
  <c r="F723" i="12"/>
  <c r="I46" i="13"/>
  <c r="K74" i="1" s="1"/>
  <c r="J622" i="13"/>
  <c r="J63" i="13" s="1"/>
  <c r="H195" i="13"/>
  <c r="H625" i="13" s="1"/>
  <c r="G665" i="13"/>
  <c r="J233" i="11"/>
  <c r="I634" i="12"/>
  <c r="I47" i="12" s="1"/>
  <c r="C28" i="22"/>
  <c r="J243" i="12"/>
  <c r="F281" i="12"/>
  <c r="H309" i="12"/>
  <c r="I483" i="12"/>
  <c r="G530" i="12"/>
  <c r="G553" i="12"/>
  <c r="J633" i="12"/>
  <c r="J684" i="12"/>
  <c r="F689" i="12"/>
  <c r="G693" i="12"/>
  <c r="H697" i="12"/>
  <c r="J701" i="12"/>
  <c r="H706" i="12"/>
  <c r="J714" i="12"/>
  <c r="H723" i="12"/>
  <c r="I597" i="13"/>
  <c r="I604" i="13" s="1"/>
  <c r="I61" i="13" s="1"/>
  <c r="I103" i="13"/>
  <c r="I118" i="13" s="1"/>
  <c r="F633" i="13"/>
  <c r="F640" i="13" s="1"/>
  <c r="F49" i="13"/>
  <c r="F626" i="13"/>
  <c r="F273" i="13"/>
  <c r="H613" i="13"/>
  <c r="H62" i="13" s="1"/>
  <c r="I423" i="1" s="1"/>
  <c r="J671" i="13"/>
  <c r="G634" i="12"/>
  <c r="G47" i="12" s="1"/>
  <c r="G643" i="12"/>
  <c r="G48" i="12" s="1"/>
  <c r="G652" i="12"/>
  <c r="G49" i="12" s="1"/>
  <c r="G661" i="12"/>
  <c r="G50" i="12" s="1"/>
  <c r="J46" i="13"/>
  <c r="L74" i="1" s="1"/>
  <c r="F631" i="13"/>
  <c r="F64" i="13" s="1"/>
  <c r="H131" i="13"/>
  <c r="H633" i="13" s="1"/>
  <c r="H640" i="13" s="1"/>
  <c r="H332" i="13"/>
  <c r="H341" i="13" s="1"/>
  <c r="I467" i="13"/>
  <c r="I475" i="13" s="1"/>
  <c r="H455" i="14"/>
  <c r="H457" i="14" s="1"/>
  <c r="H46" i="14" s="1"/>
  <c r="I424" i="1" s="1"/>
  <c r="H322" i="14"/>
  <c r="H334" i="14" s="1"/>
  <c r="G487" i="14"/>
  <c r="I517" i="14"/>
  <c r="J479" i="15"/>
  <c r="J480" i="15" s="1"/>
  <c r="J47" i="15" s="1"/>
  <c r="J52" i="15" s="1"/>
  <c r="J415" i="15"/>
  <c r="J432" i="15" s="1"/>
  <c r="E424" i="13"/>
  <c r="F604" i="13"/>
  <c r="F61" i="13" s="1"/>
  <c r="F65" i="13" s="1"/>
  <c r="G114" i="14"/>
  <c r="G493" i="14"/>
  <c r="I613" i="13"/>
  <c r="I62" i="13" s="1"/>
  <c r="H103" i="13"/>
  <c r="H118" i="13" s="1"/>
  <c r="G303" i="13"/>
  <c r="G506" i="13"/>
  <c r="G230" i="13"/>
  <c r="G568" i="13" s="1"/>
  <c r="G439" i="13"/>
  <c r="G368" i="13"/>
  <c r="J291" i="13"/>
  <c r="E628" i="13"/>
  <c r="E409" i="13"/>
  <c r="H594" i="13"/>
  <c r="H534" i="13"/>
  <c r="H542" i="13" s="1"/>
  <c r="F467" i="14"/>
  <c r="F471" i="14" s="1"/>
  <c r="F48" i="14" s="1"/>
  <c r="F190" i="14"/>
  <c r="F77" i="13"/>
  <c r="H94" i="1" s="1"/>
  <c r="H595" i="13"/>
  <c r="H60" i="13" s="1"/>
  <c r="J613" i="13"/>
  <c r="J62" i="13" s="1"/>
  <c r="H506" i="13"/>
  <c r="H230" i="13"/>
  <c r="H568" i="13" s="1"/>
  <c r="H439" i="13"/>
  <c r="J489" i="13"/>
  <c r="E595" i="13"/>
  <c r="E60" i="13" s="1"/>
  <c r="H604" i="13"/>
  <c r="H61" i="13" s="1"/>
  <c r="H423" i="1" s="1"/>
  <c r="G65" i="14"/>
  <c r="I95" i="1" s="1"/>
  <c r="E523" i="14"/>
  <c r="I514" i="14"/>
  <c r="G507" i="14"/>
  <c r="E500" i="14"/>
  <c r="G492" i="14"/>
  <c r="G484" i="14"/>
  <c r="I521" i="14"/>
  <c r="E514" i="14"/>
  <c r="I506" i="14"/>
  <c r="I498" i="14"/>
  <c r="E491" i="14"/>
  <c r="I520" i="14"/>
  <c r="I512" i="14"/>
  <c r="G505" i="14"/>
  <c r="E498" i="14"/>
  <c r="J490" i="14"/>
  <c r="I482" i="14"/>
  <c r="G519" i="14"/>
  <c r="G512" i="14"/>
  <c r="F505" i="14"/>
  <c r="I496" i="14"/>
  <c r="G489" i="14"/>
  <c r="F519" i="14"/>
  <c r="E511" i="14"/>
  <c r="G503" i="14"/>
  <c r="E496" i="14"/>
  <c r="I488" i="14"/>
  <c r="G517" i="14"/>
  <c r="G509" i="14"/>
  <c r="I501" i="14"/>
  <c r="H494" i="14"/>
  <c r="E486" i="14"/>
  <c r="G500" i="14"/>
  <c r="J433" i="12"/>
  <c r="J446" i="12" s="1"/>
  <c r="J519" i="12"/>
  <c r="J530" i="12" s="1"/>
  <c r="H46" i="13"/>
  <c r="J74" i="1" s="1"/>
  <c r="I595" i="13"/>
  <c r="I60" i="13" s="1"/>
  <c r="H622" i="13"/>
  <c r="H63" i="13" s="1"/>
  <c r="J423" i="1" s="1"/>
  <c r="I195" i="13"/>
  <c r="I625" i="13" s="1"/>
  <c r="I631" i="13" s="1"/>
  <c r="I64" i="13" s="1"/>
  <c r="I263" i="13"/>
  <c r="I273" i="13" s="1"/>
  <c r="H303" i="13"/>
  <c r="J357" i="13"/>
  <c r="J534" i="13"/>
  <c r="J542" i="13" s="1"/>
  <c r="F622" i="13"/>
  <c r="F63" i="13" s="1"/>
  <c r="I438" i="14"/>
  <c r="I443" i="14" s="1"/>
  <c r="I44" i="14" s="1"/>
  <c r="I96" i="14"/>
  <c r="I114" i="14" s="1"/>
  <c r="G292" i="14"/>
  <c r="G227" i="14"/>
  <c r="G422" i="14"/>
  <c r="G366" i="14"/>
  <c r="E503" i="14"/>
  <c r="F46" i="13"/>
  <c r="H74" i="1" s="1"/>
  <c r="H77" i="13"/>
  <c r="J94" i="1" s="1"/>
  <c r="C17" i="20" s="1"/>
  <c r="J140" i="13"/>
  <c r="J506" i="13"/>
  <c r="J230" i="13"/>
  <c r="J568" i="13" s="1"/>
  <c r="J439" i="13"/>
  <c r="J368" i="13"/>
  <c r="J589" i="13"/>
  <c r="J187" i="13"/>
  <c r="J196" i="13" s="1"/>
  <c r="J303" i="13"/>
  <c r="H368" i="13"/>
  <c r="I464" i="14"/>
  <c r="I47" i="14" s="1"/>
  <c r="E471" i="14"/>
  <c r="E48" i="14" s="1"/>
  <c r="H508" i="14"/>
  <c r="J590" i="13"/>
  <c r="F32" i="14"/>
  <c r="H75" i="1" s="1"/>
  <c r="J32" i="14"/>
  <c r="L75" i="1" s="1"/>
  <c r="I450" i="14"/>
  <c r="I45" i="14" s="1"/>
  <c r="E114" i="14"/>
  <c r="H446" i="14"/>
  <c r="H450" i="14" s="1"/>
  <c r="H45" i="14" s="1"/>
  <c r="H424" i="1" s="1"/>
  <c r="E631" i="13"/>
  <c r="E64" i="13" s="1"/>
  <c r="I187" i="13"/>
  <c r="I196" i="13" s="1"/>
  <c r="F230" i="13"/>
  <c r="F568" i="13" s="1"/>
  <c r="I368" i="13"/>
  <c r="I439" i="13"/>
  <c r="E622" i="13"/>
  <c r="E63" i="13" s="1"/>
  <c r="I32" i="14"/>
  <c r="K75" i="1" s="1"/>
  <c r="H292" i="14"/>
  <c r="H422" i="14"/>
  <c r="H366" i="14"/>
  <c r="H227" i="14"/>
  <c r="I322" i="14"/>
  <c r="I334" i="14" s="1"/>
  <c r="G49" i="14"/>
  <c r="I456" i="14"/>
  <c r="I457" i="14" s="1"/>
  <c r="I46" i="14" s="1"/>
  <c r="F34" i="15"/>
  <c r="H76" i="1" s="1"/>
  <c r="F303" i="13"/>
  <c r="E613" i="13"/>
  <c r="E62" i="13" s="1"/>
  <c r="I65" i="14"/>
  <c r="K95" i="1" s="1"/>
  <c r="G521" i="14"/>
  <c r="H96" i="14"/>
  <c r="H114" i="14" s="1"/>
  <c r="I504" i="15"/>
  <c r="I50" i="15" s="1"/>
  <c r="E512" i="15"/>
  <c r="E51" i="15" s="1"/>
  <c r="E604" i="13"/>
  <c r="E61" i="13" s="1"/>
  <c r="J422" i="14"/>
  <c r="J366" i="14"/>
  <c r="J227" i="14"/>
  <c r="J292" i="14"/>
  <c r="E398" i="14"/>
  <c r="E470" i="14"/>
  <c r="E34" i="15"/>
  <c r="G76" i="1" s="1"/>
  <c r="H34" i="15"/>
  <c r="J76" i="1" s="1"/>
  <c r="H480" i="15"/>
  <c r="H47" i="15" s="1"/>
  <c r="E640" i="13"/>
  <c r="F542" i="13"/>
  <c r="J438" i="14"/>
  <c r="J443" i="14" s="1"/>
  <c r="J44" i="14" s="1"/>
  <c r="J49" i="14" s="1"/>
  <c r="J96" i="14"/>
  <c r="J114" i="14" s="1"/>
  <c r="J471" i="14"/>
  <c r="J48" i="14" s="1"/>
  <c r="H440" i="14"/>
  <c r="H443" i="14" s="1"/>
  <c r="H44" i="14" s="1"/>
  <c r="H255" i="14"/>
  <c r="H261" i="14" s="1"/>
  <c r="J398" i="14"/>
  <c r="J525" i="15"/>
  <c r="J482" i="15"/>
  <c r="J488" i="15" s="1"/>
  <c r="J48" i="15" s="1"/>
  <c r="E482" i="14"/>
  <c r="F487" i="14"/>
  <c r="G491" i="14"/>
  <c r="G496" i="14"/>
  <c r="H501" i="14"/>
  <c r="I505" i="14"/>
  <c r="I510" i="14"/>
  <c r="J515" i="14"/>
  <c r="E520" i="14"/>
  <c r="F52" i="15"/>
  <c r="F477" i="16"/>
  <c r="F333" i="16"/>
  <c r="F65" i="14"/>
  <c r="H95" i="1" s="1"/>
  <c r="J450" i="14"/>
  <c r="J45" i="14" s="1"/>
  <c r="F35" i="14"/>
  <c r="J478" i="14"/>
  <c r="I439" i="14"/>
  <c r="I184" i="14"/>
  <c r="I190" i="14" s="1"/>
  <c r="J483" i="14"/>
  <c r="E488" i="14"/>
  <c r="I492" i="14"/>
  <c r="J497" i="14"/>
  <c r="E502" i="14"/>
  <c r="E507" i="14"/>
  <c r="F512" i="14"/>
  <c r="G516" i="14"/>
  <c r="G365" i="15"/>
  <c r="I522" i="14"/>
  <c r="J523" i="14"/>
  <c r="I523" i="14"/>
  <c r="G522" i="14"/>
  <c r="E521" i="14"/>
  <c r="I519" i="14"/>
  <c r="G518" i="14"/>
  <c r="E517" i="14"/>
  <c r="I515" i="14"/>
  <c r="G514" i="14"/>
  <c r="E513" i="14"/>
  <c r="I511" i="14"/>
  <c r="G510" i="14"/>
  <c r="E509" i="14"/>
  <c r="I507" i="14"/>
  <c r="G506" i="14"/>
  <c r="E505" i="14"/>
  <c r="I503" i="14"/>
  <c r="G502" i="14"/>
  <c r="E501" i="14"/>
  <c r="I499" i="14"/>
  <c r="G498" i="14"/>
  <c r="E497" i="14"/>
  <c r="I495" i="14"/>
  <c r="G494" i="14"/>
  <c r="E493" i="14"/>
  <c r="I491" i="14"/>
  <c r="G490" i="14"/>
  <c r="E489" i="14"/>
  <c r="I487" i="14"/>
  <c r="G486" i="14"/>
  <c r="E485" i="14"/>
  <c r="I483" i="14"/>
  <c r="G482" i="14"/>
  <c r="H523" i="14"/>
  <c r="F522" i="14"/>
  <c r="J520" i="14"/>
  <c r="H519" i="14"/>
  <c r="F518" i="14"/>
  <c r="J516" i="14"/>
  <c r="H515" i="14"/>
  <c r="F514" i="14"/>
  <c r="J512" i="14"/>
  <c r="H511" i="14"/>
  <c r="F510" i="14"/>
  <c r="J508" i="14"/>
  <c r="H507" i="14"/>
  <c r="F506" i="14"/>
  <c r="J504" i="14"/>
  <c r="H503" i="14"/>
  <c r="F502" i="14"/>
  <c r="J500" i="14"/>
  <c r="H499" i="14"/>
  <c r="F498" i="14"/>
  <c r="J496" i="14"/>
  <c r="H495" i="14"/>
  <c r="F494" i="14"/>
  <c r="J492" i="14"/>
  <c r="H491" i="14"/>
  <c r="F490" i="14"/>
  <c r="J488" i="14"/>
  <c r="H487" i="14"/>
  <c r="F486" i="14"/>
  <c r="J484" i="14"/>
  <c r="H483" i="14"/>
  <c r="F482" i="14"/>
  <c r="H522" i="14"/>
  <c r="H520" i="14"/>
  <c r="J518" i="14"/>
  <c r="F517" i="14"/>
  <c r="F515" i="14"/>
  <c r="H513" i="14"/>
  <c r="J511" i="14"/>
  <c r="J509" i="14"/>
  <c r="F508" i="14"/>
  <c r="H506" i="14"/>
  <c r="H504" i="14"/>
  <c r="J502" i="14"/>
  <c r="F501" i="14"/>
  <c r="F499" i="14"/>
  <c r="H497" i="14"/>
  <c r="J495" i="14"/>
  <c r="J493" i="14"/>
  <c r="F492" i="14"/>
  <c r="H490" i="14"/>
  <c r="H488" i="14"/>
  <c r="J486" i="14"/>
  <c r="F485" i="14"/>
  <c r="F483" i="14"/>
  <c r="E522" i="14"/>
  <c r="G520" i="14"/>
  <c r="I518" i="14"/>
  <c r="I516" i="14"/>
  <c r="E515" i="14"/>
  <c r="G513" i="14"/>
  <c r="G511" i="14"/>
  <c r="I509" i="14"/>
  <c r="E508" i="14"/>
  <c r="E506" i="14"/>
  <c r="G504" i="14"/>
  <c r="I502" i="14"/>
  <c r="I500" i="14"/>
  <c r="E499" i="14"/>
  <c r="G497" i="14"/>
  <c r="G495" i="14"/>
  <c r="I493" i="14"/>
  <c r="E492" i="14"/>
  <c r="E490" i="14"/>
  <c r="G488" i="14"/>
  <c r="I486" i="14"/>
  <c r="I484" i="14"/>
  <c r="E483" i="14"/>
  <c r="J521" i="14"/>
  <c r="F520" i="14"/>
  <c r="H518" i="14"/>
  <c r="H516" i="14"/>
  <c r="J514" i="14"/>
  <c r="F513" i="14"/>
  <c r="F511" i="14"/>
  <c r="H509" i="14"/>
  <c r="J507" i="14"/>
  <c r="J505" i="14"/>
  <c r="F504" i="14"/>
  <c r="H502" i="14"/>
  <c r="H500" i="14"/>
  <c r="J498" i="14"/>
  <c r="F497" i="14"/>
  <c r="F495" i="14"/>
  <c r="H493" i="14"/>
  <c r="J491" i="14"/>
  <c r="J489" i="14"/>
  <c r="F488" i="14"/>
  <c r="H486" i="14"/>
  <c r="H484" i="14"/>
  <c r="J482" i="14"/>
  <c r="G523" i="14"/>
  <c r="H521" i="14"/>
  <c r="J519" i="14"/>
  <c r="J517" i="14"/>
  <c r="F516" i="14"/>
  <c r="H514" i="14"/>
  <c r="H512" i="14"/>
  <c r="J510" i="14"/>
  <c r="F509" i="14"/>
  <c r="F507" i="14"/>
  <c r="H505" i="14"/>
  <c r="J503" i="14"/>
  <c r="J501" i="14"/>
  <c r="F500" i="14"/>
  <c r="H498" i="14"/>
  <c r="H496" i="14"/>
  <c r="J494" i="14"/>
  <c r="F493" i="14"/>
  <c r="F491" i="14"/>
  <c r="H489" i="14"/>
  <c r="J487" i="14"/>
  <c r="J485" i="14"/>
  <c r="F484" i="14"/>
  <c r="H482" i="14"/>
  <c r="J522" i="14"/>
  <c r="E519" i="14"/>
  <c r="G515" i="14"/>
  <c r="E512" i="14"/>
  <c r="G508" i="14"/>
  <c r="I504" i="14"/>
  <c r="G501" i="14"/>
  <c r="I497" i="14"/>
  <c r="E494" i="14"/>
  <c r="I490" i="14"/>
  <c r="E487" i="14"/>
  <c r="G483" i="14"/>
  <c r="F521" i="14"/>
  <c r="H517" i="14"/>
  <c r="J513" i="14"/>
  <c r="H510" i="14"/>
  <c r="J506" i="14"/>
  <c r="F503" i="14"/>
  <c r="J499" i="14"/>
  <c r="F496" i="14"/>
  <c r="H492" i="14"/>
  <c r="F489" i="14"/>
  <c r="H485" i="14"/>
  <c r="J281" i="14"/>
  <c r="F422" i="14"/>
  <c r="F443" i="14"/>
  <c r="F44" i="14" s="1"/>
  <c r="G485" i="14"/>
  <c r="I489" i="14"/>
  <c r="I494" i="14"/>
  <c r="G499" i="14"/>
  <c r="E504" i="14"/>
  <c r="I508" i="14"/>
  <c r="I513" i="14"/>
  <c r="E518" i="14"/>
  <c r="F523" i="14"/>
  <c r="G511" i="15"/>
  <c r="G512" i="15" s="1"/>
  <c r="G51" i="15" s="1"/>
  <c r="G432" i="15"/>
  <c r="F48" i="16"/>
  <c r="J457" i="14"/>
  <c r="J46" i="14" s="1"/>
  <c r="H478" i="14"/>
  <c r="J351" i="14"/>
  <c r="G504" i="15"/>
  <c r="G50" i="15" s="1"/>
  <c r="J464" i="14"/>
  <c r="J47" i="14" s="1"/>
  <c r="H496" i="15"/>
  <c r="H49" i="15" s="1"/>
  <c r="I425" i="1" s="1"/>
  <c r="G34" i="15"/>
  <c r="I76" i="1" s="1"/>
  <c r="H478" i="15"/>
  <c r="H355" i="15"/>
  <c r="H365" i="15" s="1"/>
  <c r="H527" i="15"/>
  <c r="J322" i="14"/>
  <c r="J334" i="14" s="1"/>
  <c r="J379" i="15"/>
  <c r="F520" i="15"/>
  <c r="F526" i="15"/>
  <c r="H530" i="15"/>
  <c r="J539" i="15"/>
  <c r="E548" i="15"/>
  <c r="H558" i="15"/>
  <c r="F478" i="16"/>
  <c r="F402" i="16"/>
  <c r="E334" i="14"/>
  <c r="I34" i="15"/>
  <c r="K76" i="1" s="1"/>
  <c r="I547" i="15"/>
  <c r="I105" i="15"/>
  <c r="I506" i="15" s="1"/>
  <c r="H224" i="15"/>
  <c r="H236" i="15" s="1"/>
  <c r="H294" i="15"/>
  <c r="H306" i="15" s="1"/>
  <c r="E504" i="15"/>
  <c r="E50" i="15" s="1"/>
  <c r="E52" i="15" s="1"/>
  <c r="I532" i="15"/>
  <c r="F541" i="15"/>
  <c r="G551" i="15"/>
  <c r="F561" i="15"/>
  <c r="F334" i="14"/>
  <c r="J441" i="14"/>
  <c r="J34" i="15"/>
  <c r="L76" i="1" s="1"/>
  <c r="I106" i="15"/>
  <c r="H504" i="15"/>
  <c r="H50" i="15" s="1"/>
  <c r="J425" i="1" s="1"/>
  <c r="J512" i="15"/>
  <c r="J51" i="15" s="1"/>
  <c r="J459" i="15"/>
  <c r="J200" i="15"/>
  <c r="J391" i="15"/>
  <c r="I224" i="15"/>
  <c r="I306" i="15"/>
  <c r="J355" i="15"/>
  <c r="J365" i="15" s="1"/>
  <c r="F432" i="15"/>
  <c r="F504" i="15"/>
  <c r="F50" i="15" s="1"/>
  <c r="E524" i="15"/>
  <c r="J527" i="15"/>
  <c r="G533" i="15"/>
  <c r="G543" i="15"/>
  <c r="J551" i="15"/>
  <c r="E562" i="15"/>
  <c r="E464" i="14"/>
  <c r="E47" i="14" s="1"/>
  <c r="E49" i="14" s="1"/>
  <c r="J88" i="15"/>
  <c r="J106" i="15" s="1"/>
  <c r="J331" i="15"/>
  <c r="H524" i="15"/>
  <c r="E528" i="15"/>
  <c r="E534" i="15"/>
  <c r="E544" i="15"/>
  <c r="E554" i="15"/>
  <c r="H525" i="15"/>
  <c r="J498" i="15"/>
  <c r="J504" i="15" s="1"/>
  <c r="J50" i="15" s="1"/>
  <c r="J528" i="15"/>
  <c r="F512" i="15"/>
  <c r="F51" i="15" s="1"/>
  <c r="E565" i="15"/>
  <c r="I563" i="15"/>
  <c r="G562" i="15"/>
  <c r="E561" i="15"/>
  <c r="I559" i="15"/>
  <c r="G558" i="15"/>
  <c r="E557" i="15"/>
  <c r="I555" i="15"/>
  <c r="G554" i="15"/>
  <c r="E553" i="15"/>
  <c r="I551" i="15"/>
  <c r="G550" i="15"/>
  <c r="E549" i="15"/>
  <c r="G546" i="15"/>
  <c r="E545" i="15"/>
  <c r="I543" i="15"/>
  <c r="G542" i="15"/>
  <c r="E541" i="15"/>
  <c r="I539" i="15"/>
  <c r="G538" i="15"/>
  <c r="E537" i="15"/>
  <c r="I535" i="15"/>
  <c r="G534" i="15"/>
  <c r="E533" i="15"/>
  <c r="I531" i="15"/>
  <c r="G530" i="15"/>
  <c r="E529" i="15"/>
  <c r="J564" i="15"/>
  <c r="H563" i="15"/>
  <c r="F562" i="15"/>
  <c r="J560" i="15"/>
  <c r="H559" i="15"/>
  <c r="F558" i="15"/>
  <c r="J556" i="15"/>
  <c r="H555" i="15"/>
  <c r="F554" i="15"/>
  <c r="J552" i="15"/>
  <c r="H551" i="15"/>
  <c r="F550" i="15"/>
  <c r="J548" i="15"/>
  <c r="F546" i="15"/>
  <c r="J544" i="15"/>
  <c r="H543" i="15"/>
  <c r="F542" i="15"/>
  <c r="J540" i="15"/>
  <c r="H539" i="15"/>
  <c r="F538" i="15"/>
  <c r="J536" i="15"/>
  <c r="H535" i="15"/>
  <c r="F534" i="15"/>
  <c r="J532" i="15"/>
  <c r="J565" i="15"/>
  <c r="H564" i="15"/>
  <c r="F563" i="15"/>
  <c r="J561" i="15"/>
  <c r="H560" i="15"/>
  <c r="F559" i="15"/>
  <c r="J557" i="15"/>
  <c r="H556" i="15"/>
  <c r="F555" i="15"/>
  <c r="J553" i="15"/>
  <c r="H552" i="15"/>
  <c r="F551" i="15"/>
  <c r="J549" i="15"/>
  <c r="H548" i="15"/>
  <c r="F547" i="15"/>
  <c r="J545" i="15"/>
  <c r="H544" i="15"/>
  <c r="F543" i="15"/>
  <c r="J541" i="15"/>
  <c r="H540" i="15"/>
  <c r="F539" i="15"/>
  <c r="J537" i="15"/>
  <c r="H536" i="15"/>
  <c r="F535" i="15"/>
  <c r="J533" i="15"/>
  <c r="H532" i="15"/>
  <c r="F531" i="15"/>
  <c r="J529" i="15"/>
  <c r="I565" i="15"/>
  <c r="G564" i="15"/>
  <c r="E563" i="15"/>
  <c r="I561" i="15"/>
  <c r="G560" i="15"/>
  <c r="E559" i="15"/>
  <c r="I557" i="15"/>
  <c r="G556" i="15"/>
  <c r="E555" i="15"/>
  <c r="I553" i="15"/>
  <c r="G552" i="15"/>
  <c r="E551" i="15"/>
  <c r="I549" i="15"/>
  <c r="G548" i="15"/>
  <c r="E547" i="15"/>
  <c r="I545" i="15"/>
  <c r="G544" i="15"/>
  <c r="E543" i="15"/>
  <c r="I541" i="15"/>
  <c r="G540" i="15"/>
  <c r="E539" i="15"/>
  <c r="I537" i="15"/>
  <c r="G536" i="15"/>
  <c r="E535" i="15"/>
  <c r="I533" i="15"/>
  <c r="G532" i="15"/>
  <c r="E531" i="15"/>
  <c r="I529" i="15"/>
  <c r="G528" i="15"/>
  <c r="E527" i="15"/>
  <c r="G524" i="15"/>
  <c r="H565" i="15"/>
  <c r="F564" i="15"/>
  <c r="J562" i="15"/>
  <c r="H561" i="15"/>
  <c r="F560" i="15"/>
  <c r="J558" i="15"/>
  <c r="H557" i="15"/>
  <c r="F556" i="15"/>
  <c r="J554" i="15"/>
  <c r="H553" i="15"/>
  <c r="F552" i="15"/>
  <c r="J550" i="15"/>
  <c r="H549" i="15"/>
  <c r="F548" i="15"/>
  <c r="J546" i="15"/>
  <c r="H545" i="15"/>
  <c r="F544" i="15"/>
  <c r="J542" i="15"/>
  <c r="H541" i="15"/>
  <c r="F540" i="15"/>
  <c r="J538" i="15"/>
  <c r="H537" i="15"/>
  <c r="F536" i="15"/>
  <c r="J534" i="15"/>
  <c r="H533" i="15"/>
  <c r="F532" i="15"/>
  <c r="J530" i="15"/>
  <c r="H529" i="15"/>
  <c r="F528" i="15"/>
  <c r="J526" i="15"/>
  <c r="F524" i="15"/>
  <c r="F565" i="15"/>
  <c r="G561" i="15"/>
  <c r="E558" i="15"/>
  <c r="H554" i="15"/>
  <c r="I550" i="15"/>
  <c r="G547" i="15"/>
  <c r="J543" i="15"/>
  <c r="E540" i="15"/>
  <c r="I536" i="15"/>
  <c r="F533" i="15"/>
  <c r="E564" i="15"/>
  <c r="I560" i="15"/>
  <c r="F557" i="15"/>
  <c r="G553" i="15"/>
  <c r="E550" i="15"/>
  <c r="H546" i="15"/>
  <c r="I542" i="15"/>
  <c r="G539" i="15"/>
  <c r="J535" i="15"/>
  <c r="E532" i="15"/>
  <c r="G529" i="15"/>
  <c r="G527" i="15"/>
  <c r="G525" i="15"/>
  <c r="J563" i="15"/>
  <c r="E560" i="15"/>
  <c r="I556" i="15"/>
  <c r="F553" i="15"/>
  <c r="G549" i="15"/>
  <c r="E546" i="15"/>
  <c r="H542" i="15"/>
  <c r="I538" i="15"/>
  <c r="G535" i="15"/>
  <c r="J531" i="15"/>
  <c r="F529" i="15"/>
  <c r="F527" i="15"/>
  <c r="F525" i="15"/>
  <c r="G563" i="15"/>
  <c r="J559" i="15"/>
  <c r="E556" i="15"/>
  <c r="I552" i="15"/>
  <c r="F549" i="15"/>
  <c r="G545" i="15"/>
  <c r="E542" i="15"/>
  <c r="H538" i="15"/>
  <c r="I534" i="15"/>
  <c r="H531" i="15"/>
  <c r="I526" i="15"/>
  <c r="E525" i="15"/>
  <c r="I562" i="15"/>
  <c r="G559" i="15"/>
  <c r="J555" i="15"/>
  <c r="E552" i="15"/>
  <c r="I548" i="15"/>
  <c r="F545" i="15"/>
  <c r="G541" i="15"/>
  <c r="E538" i="15"/>
  <c r="H534" i="15"/>
  <c r="G531" i="15"/>
  <c r="H526" i="15"/>
  <c r="J294" i="15"/>
  <c r="J306" i="15" s="1"/>
  <c r="F496" i="15"/>
  <c r="F49" i="15" s="1"/>
  <c r="I524" i="15"/>
  <c r="H528" i="15"/>
  <c r="E536" i="15"/>
  <c r="I544" i="15"/>
  <c r="I554" i="15"/>
  <c r="I564" i="15"/>
  <c r="I525" i="15"/>
  <c r="I235" i="15"/>
  <c r="I508" i="15" s="1"/>
  <c r="E236" i="15"/>
  <c r="J270" i="15"/>
  <c r="I415" i="15"/>
  <c r="I432" i="15" s="1"/>
  <c r="I479" i="15"/>
  <c r="I480" i="15" s="1"/>
  <c r="I47" i="15" s="1"/>
  <c r="G496" i="15"/>
  <c r="G49" i="15" s="1"/>
  <c r="G52" i="15" s="1"/>
  <c r="E530" i="15"/>
  <c r="F537" i="15"/>
  <c r="I546" i="15"/>
  <c r="G555" i="15"/>
  <c r="G565" i="15"/>
  <c r="I527" i="15"/>
  <c r="H88" i="15"/>
  <c r="H106" i="15" s="1"/>
  <c r="H162" i="15"/>
  <c r="H172" i="15" s="1"/>
  <c r="I200" i="15"/>
  <c r="F270" i="15"/>
  <c r="I459" i="15"/>
  <c r="I490" i="15"/>
  <c r="I496" i="15" s="1"/>
  <c r="I49" i="15" s="1"/>
  <c r="J524" i="15"/>
  <c r="J566" i="15" s="1"/>
  <c r="I528" i="15"/>
  <c r="I524" i="16"/>
  <c r="E516" i="16"/>
  <c r="I510" i="16"/>
  <c r="G505" i="16"/>
  <c r="E500" i="16"/>
  <c r="G496" i="16"/>
  <c r="J492" i="16"/>
  <c r="E496" i="16"/>
  <c r="I162" i="15"/>
  <c r="I172" i="15" s="1"/>
  <c r="G270" i="15"/>
  <c r="H479" i="15"/>
  <c r="H479" i="16"/>
  <c r="H47" i="16" s="1"/>
  <c r="K426" i="1" s="1"/>
  <c r="I31" i="16"/>
  <c r="K77" i="1" s="1"/>
  <c r="F465" i="16"/>
  <c r="F45" i="16" s="1"/>
  <c r="H499" i="16"/>
  <c r="J162" i="15"/>
  <c r="J172" i="15" s="1"/>
  <c r="H270" i="15"/>
  <c r="G39" i="16"/>
  <c r="I136" i="1" s="1"/>
  <c r="D18" i="21" s="1"/>
  <c r="I493" i="16"/>
  <c r="I460" i="16"/>
  <c r="I465" i="16" s="1"/>
  <c r="I45" i="16" s="1"/>
  <c r="I479" i="16"/>
  <c r="I47" i="16" s="1"/>
  <c r="G504" i="16"/>
  <c r="H547" i="15"/>
  <c r="I270" i="15"/>
  <c r="H490" i="16"/>
  <c r="H446" i="16"/>
  <c r="H451" i="16" s="1"/>
  <c r="H43" i="16" s="1"/>
  <c r="J493" i="16"/>
  <c r="J460" i="16"/>
  <c r="J465" i="16" s="1"/>
  <c r="J45" i="16" s="1"/>
  <c r="I76" i="16"/>
  <c r="I92" i="16" s="1"/>
  <c r="J472" i="16"/>
  <c r="J46" i="16" s="1"/>
  <c r="I509" i="16"/>
  <c r="G31" i="16"/>
  <c r="I77" i="1" s="1"/>
  <c r="I472" i="16"/>
  <c r="I46" i="16" s="1"/>
  <c r="J486" i="16"/>
  <c r="I531" i="16"/>
  <c r="H228" i="16"/>
  <c r="H241" i="16" s="1"/>
  <c r="H448" i="16"/>
  <c r="H494" i="16"/>
  <c r="H467" i="16"/>
  <c r="H472" i="16" s="1"/>
  <c r="H46" i="16" s="1"/>
  <c r="J426" i="1" s="1"/>
  <c r="J479" i="16"/>
  <c r="J47" i="16" s="1"/>
  <c r="H149" i="16"/>
  <c r="H158" i="16" s="1"/>
  <c r="F158" i="16"/>
  <c r="I393" i="16"/>
  <c r="I402" i="16" s="1"/>
  <c r="G493" i="16"/>
  <c r="J496" i="16"/>
  <c r="G500" i="16"/>
  <c r="I505" i="16"/>
  <c r="E511" i="16"/>
  <c r="I516" i="16"/>
  <c r="E525" i="16"/>
  <c r="I75" i="17"/>
  <c r="I83" i="17"/>
  <c r="J61" i="17"/>
  <c r="I119" i="17"/>
  <c r="J490" i="16"/>
  <c r="J446" i="16"/>
  <c r="H501" i="16"/>
  <c r="J149" i="16"/>
  <c r="J158" i="16" s="1"/>
  <c r="J228" i="16"/>
  <c r="J241" i="16" s="1"/>
  <c r="E241" i="16"/>
  <c r="J274" i="16"/>
  <c r="J315" i="16"/>
  <c r="J333" i="16" s="1"/>
  <c r="J393" i="16"/>
  <c r="J402" i="16" s="1"/>
  <c r="J450" i="16"/>
  <c r="F479" i="16"/>
  <c r="F47" i="16" s="1"/>
  <c r="F490" i="16"/>
  <c r="G497" i="16"/>
  <c r="G501" i="16"/>
  <c r="I506" i="16"/>
  <c r="E512" i="16"/>
  <c r="E518" i="16"/>
  <c r="I527" i="16"/>
  <c r="H54" i="16"/>
  <c r="H458" i="16"/>
  <c r="H44" i="16" s="1"/>
  <c r="H426" i="1" s="1"/>
  <c r="J494" i="16"/>
  <c r="H505" i="16"/>
  <c r="I149" i="16"/>
  <c r="I158" i="16" s="1"/>
  <c r="I447" i="16"/>
  <c r="I451" i="16" s="1"/>
  <c r="I43" i="16" s="1"/>
  <c r="I48" i="16" s="1"/>
  <c r="H315" i="16"/>
  <c r="H333" i="16" s="1"/>
  <c r="H332" i="16"/>
  <c r="H477" i="16" s="1"/>
  <c r="J458" i="16"/>
  <c r="J44" i="16" s="1"/>
  <c r="I490" i="16"/>
  <c r="F494" i="16"/>
  <c r="I497" i="16"/>
  <c r="I501" i="16"/>
  <c r="E507" i="16"/>
  <c r="G512" i="16"/>
  <c r="G518" i="16"/>
  <c r="J528" i="16"/>
  <c r="I491" i="16"/>
  <c r="I315" i="16"/>
  <c r="I333" i="16" s="1"/>
  <c r="G451" i="16"/>
  <c r="G43" i="16" s="1"/>
  <c r="G48" i="16" s="1"/>
  <c r="E472" i="16"/>
  <c r="E46" i="16" s="1"/>
  <c r="E48" i="16" s="1"/>
  <c r="E491" i="16"/>
  <c r="I494" i="16"/>
  <c r="F498" i="16"/>
  <c r="I502" i="16"/>
  <c r="E508" i="16"/>
  <c r="G513" i="16"/>
  <c r="I519" i="16"/>
  <c r="H531" i="16"/>
  <c r="J491" i="16"/>
  <c r="H486" i="16"/>
  <c r="J448" i="16"/>
  <c r="H491" i="16"/>
  <c r="E495" i="16"/>
  <c r="I498" i="16"/>
  <c r="E503" i="16"/>
  <c r="G508" i="16"/>
  <c r="I513" i="16"/>
  <c r="H460" i="16"/>
  <c r="H465" i="16" s="1"/>
  <c r="H45" i="16" s="1"/>
  <c r="I426" i="1" s="1"/>
  <c r="H493" i="16"/>
  <c r="G479" i="16"/>
  <c r="G47" i="16" s="1"/>
  <c r="J500" i="16"/>
  <c r="E492" i="16"/>
  <c r="H495" i="16"/>
  <c r="E499" i="16"/>
  <c r="E504" i="16"/>
  <c r="G509" i="16"/>
  <c r="I514" i="16"/>
  <c r="E522" i="16"/>
  <c r="I116" i="17"/>
  <c r="J60" i="17"/>
  <c r="I60" i="17"/>
  <c r="H449" i="16"/>
  <c r="F492" i="16"/>
  <c r="F496" i="16"/>
  <c r="H497" i="16"/>
  <c r="J498" i="16"/>
  <c r="F500" i="16"/>
  <c r="J502" i="16"/>
  <c r="F504" i="16"/>
  <c r="J506" i="16"/>
  <c r="F508" i="16"/>
  <c r="H509" i="16"/>
  <c r="J510" i="16"/>
  <c r="F512" i="16"/>
  <c r="H513" i="16"/>
  <c r="J514" i="16"/>
  <c r="G516" i="16"/>
  <c r="F518" i="16"/>
  <c r="J519" i="16"/>
  <c r="F522" i="16"/>
  <c r="J524" i="16"/>
  <c r="I528" i="16"/>
  <c r="I81" i="17"/>
  <c r="I90" i="17"/>
  <c r="E20" i="22"/>
  <c r="I530" i="16"/>
  <c r="G529" i="16"/>
  <c r="E528" i="16"/>
  <c r="I526" i="16"/>
  <c r="G525" i="16"/>
  <c r="E524" i="16"/>
  <c r="I522" i="16"/>
  <c r="G521" i="16"/>
  <c r="E520" i="16"/>
  <c r="J531" i="16"/>
  <c r="H530" i="16"/>
  <c r="F529" i="16"/>
  <c r="J527" i="16"/>
  <c r="H526" i="16"/>
  <c r="F525" i="16"/>
  <c r="F531" i="16"/>
  <c r="J529" i="16"/>
  <c r="H528" i="16"/>
  <c r="F527" i="16"/>
  <c r="J525" i="16"/>
  <c r="H524" i="16"/>
  <c r="F523" i="16"/>
  <c r="J521" i="16"/>
  <c r="H520" i="16"/>
  <c r="F519" i="16"/>
  <c r="J517" i="16"/>
  <c r="H516" i="16"/>
  <c r="E531" i="16"/>
  <c r="I529" i="16"/>
  <c r="G528" i="16"/>
  <c r="E527" i="16"/>
  <c r="I525" i="16"/>
  <c r="G524" i="16"/>
  <c r="E523" i="16"/>
  <c r="J530" i="16"/>
  <c r="H529" i="16"/>
  <c r="F528" i="16"/>
  <c r="J526" i="16"/>
  <c r="H525" i="16"/>
  <c r="F524" i="16"/>
  <c r="J522" i="16"/>
  <c r="H521" i="16"/>
  <c r="F520" i="16"/>
  <c r="J518" i="16"/>
  <c r="H517" i="16"/>
  <c r="F516" i="16"/>
  <c r="F491" i="16"/>
  <c r="H492" i="16"/>
  <c r="F495" i="16"/>
  <c r="H496" i="16"/>
  <c r="J497" i="16"/>
  <c r="F499" i="16"/>
  <c r="H500" i="16"/>
  <c r="J501" i="16"/>
  <c r="F503" i="16"/>
  <c r="H504" i="16"/>
  <c r="J505" i="16"/>
  <c r="F507" i="16"/>
  <c r="H508" i="16"/>
  <c r="J509" i="16"/>
  <c r="F511" i="16"/>
  <c r="H512" i="16"/>
  <c r="J513" i="16"/>
  <c r="F515" i="16"/>
  <c r="J516" i="16"/>
  <c r="H518" i="16"/>
  <c r="I520" i="16"/>
  <c r="H522" i="16"/>
  <c r="E526" i="16"/>
  <c r="E529" i="16"/>
  <c r="J59" i="17"/>
  <c r="I59" i="17"/>
  <c r="I93" i="17"/>
  <c r="I453" i="16"/>
  <c r="I458" i="16" s="1"/>
  <c r="I44" i="16" s="1"/>
  <c r="E490" i="16"/>
  <c r="G491" i="16"/>
  <c r="I492" i="16"/>
  <c r="E494" i="16"/>
  <c r="G495" i="16"/>
  <c r="I496" i="16"/>
  <c r="E498" i="16"/>
  <c r="G499" i="16"/>
  <c r="I500" i="16"/>
  <c r="E502" i="16"/>
  <c r="G503" i="16"/>
  <c r="I504" i="16"/>
  <c r="E506" i="16"/>
  <c r="G507" i="16"/>
  <c r="I508" i="16"/>
  <c r="E510" i="16"/>
  <c r="G511" i="16"/>
  <c r="I512" i="16"/>
  <c r="E514" i="16"/>
  <c r="G515" i="16"/>
  <c r="E517" i="16"/>
  <c r="I518" i="16"/>
  <c r="J520" i="16"/>
  <c r="G523" i="16"/>
  <c r="F526" i="16"/>
  <c r="E530" i="16"/>
  <c r="I73" i="17"/>
  <c r="I74" i="17"/>
  <c r="I82" i="17"/>
  <c r="G57" i="17"/>
  <c r="G62" i="17"/>
  <c r="I85" i="17"/>
  <c r="F502" i="16"/>
  <c r="H503" i="16"/>
  <c r="J504" i="16"/>
  <c r="F506" i="16"/>
  <c r="H507" i="16"/>
  <c r="J508" i="16"/>
  <c r="F510" i="16"/>
  <c r="H511" i="16"/>
  <c r="J512" i="16"/>
  <c r="F514" i="16"/>
  <c r="H515" i="16"/>
  <c r="F517" i="16"/>
  <c r="E519" i="16"/>
  <c r="E521" i="16"/>
  <c r="H523" i="16"/>
  <c r="G526" i="16"/>
  <c r="F530" i="16"/>
  <c r="I105" i="17"/>
  <c r="G490" i="16"/>
  <c r="E493" i="16"/>
  <c r="G494" i="16"/>
  <c r="I495" i="16"/>
  <c r="E497" i="16"/>
  <c r="G498" i="16"/>
  <c r="I499" i="16"/>
  <c r="E501" i="16"/>
  <c r="G502" i="16"/>
  <c r="I503" i="16"/>
  <c r="E505" i="16"/>
  <c r="G506" i="16"/>
  <c r="I507" i="16"/>
  <c r="E509" i="16"/>
  <c r="G510" i="16"/>
  <c r="I511" i="16"/>
  <c r="E513" i="16"/>
  <c r="G514" i="16"/>
  <c r="I515" i="16"/>
  <c r="G517" i="16"/>
  <c r="G519" i="16"/>
  <c r="F521" i="16"/>
  <c r="I523" i="16"/>
  <c r="G527" i="16"/>
  <c r="G530" i="16"/>
  <c r="G65" i="17"/>
  <c r="I104" i="17"/>
  <c r="F493" i="16"/>
  <c r="J495" i="16"/>
  <c r="F497" i="16"/>
  <c r="H498" i="16"/>
  <c r="J499" i="16"/>
  <c r="F501" i="16"/>
  <c r="H502" i="16"/>
  <c r="J503" i="16"/>
  <c r="F505" i="16"/>
  <c r="H506" i="16"/>
  <c r="J507" i="16"/>
  <c r="F509" i="16"/>
  <c r="H510" i="16"/>
  <c r="J511" i="16"/>
  <c r="F513" i="16"/>
  <c r="H514" i="16"/>
  <c r="J515" i="16"/>
  <c r="I517" i="16"/>
  <c r="H519" i="16"/>
  <c r="I521" i="16"/>
  <c r="J523" i="16"/>
  <c r="H527" i="16"/>
  <c r="G531" i="16"/>
  <c r="F79" i="13" l="1"/>
  <c r="H113" i="1"/>
  <c r="H55" i="1" s="1"/>
  <c r="E67" i="14"/>
  <c r="G114" i="1"/>
  <c r="G56" i="1" s="1"/>
  <c r="H49" i="14"/>
  <c r="G424" i="1"/>
  <c r="L424" i="1" s="1"/>
  <c r="E69" i="8"/>
  <c r="G108" i="1"/>
  <c r="G50" i="1" s="1"/>
  <c r="K427" i="1"/>
  <c r="E61" i="15"/>
  <c r="G115" i="1"/>
  <c r="G57" i="1" s="1"/>
  <c r="I427" i="1"/>
  <c r="J563" i="1"/>
  <c r="G61" i="15"/>
  <c r="I115" i="1"/>
  <c r="I57" i="1" s="1"/>
  <c r="I55" i="16"/>
  <c r="K116" i="1"/>
  <c r="K58" i="1" s="1"/>
  <c r="J61" i="15"/>
  <c r="L115" i="1"/>
  <c r="L57" i="1" s="1"/>
  <c r="F79" i="12"/>
  <c r="H112" i="1"/>
  <c r="H54" i="1" s="1"/>
  <c r="G47" i="10"/>
  <c r="I42" i="7"/>
  <c r="K127" i="1" s="1"/>
  <c r="K107" i="1"/>
  <c r="K49" i="1" s="1"/>
  <c r="E55" i="16"/>
  <c r="G116" i="1"/>
  <c r="G58" i="1" s="1"/>
  <c r="H52" i="12"/>
  <c r="G422" i="1"/>
  <c r="L422" i="1" s="1"/>
  <c r="I48" i="6"/>
  <c r="K106" i="1"/>
  <c r="K48" i="1" s="1"/>
  <c r="I45" i="3"/>
  <c r="K103" i="1"/>
  <c r="K45" i="1" s="1"/>
  <c r="F69" i="8"/>
  <c r="H108" i="1"/>
  <c r="H50" i="1" s="1"/>
  <c r="F50" i="2"/>
  <c r="H102" i="1"/>
  <c r="B10" i="22"/>
  <c r="B15" i="22" s="1"/>
  <c r="B20" i="22" s="1"/>
  <c r="H60" i="8"/>
  <c r="G418" i="1"/>
  <c r="L418" i="1" s="1"/>
  <c r="J50" i="2"/>
  <c r="L102" i="1"/>
  <c r="F48" i="6"/>
  <c r="H106" i="1"/>
  <c r="H48" i="1" s="1"/>
  <c r="H427" i="1"/>
  <c r="J37" i="12"/>
  <c r="L378" i="1"/>
  <c r="J68" i="23" s="1"/>
  <c r="H50" i="13"/>
  <c r="J385" i="1"/>
  <c r="F75" i="23" s="1"/>
  <c r="F64" i="11"/>
  <c r="H111" i="1"/>
  <c r="H53" i="1" s="1"/>
  <c r="I36" i="10"/>
  <c r="K371" i="1"/>
  <c r="H61" i="23" s="1"/>
  <c r="I35" i="10"/>
  <c r="K370" i="1"/>
  <c r="H60" i="23" s="1"/>
  <c r="K501" i="1"/>
  <c r="K563" i="1" s="1"/>
  <c r="K92" i="1"/>
  <c r="K98" i="1" s="1"/>
  <c r="K20" i="1" s="1"/>
  <c r="D6" i="22" s="1"/>
  <c r="D7" i="22" s="1"/>
  <c r="D25" i="22" s="1"/>
  <c r="E34" i="10"/>
  <c r="G369" i="1"/>
  <c r="F188" i="9"/>
  <c r="E25" i="7"/>
  <c r="E26" i="7" s="1"/>
  <c r="G360" i="1"/>
  <c r="I30" i="6"/>
  <c r="K358" i="1"/>
  <c r="H48" i="23" s="1"/>
  <c r="I28" i="5"/>
  <c r="I29" i="5" s="1"/>
  <c r="K125" i="1" s="1"/>
  <c r="K355" i="1"/>
  <c r="H45" i="23" s="1"/>
  <c r="H36" i="10"/>
  <c r="J371" i="1"/>
  <c r="F61" i="23" s="1"/>
  <c r="J45" i="3"/>
  <c r="L103" i="1"/>
  <c r="L45" i="1" s="1"/>
  <c r="H25" i="7"/>
  <c r="H26" i="7" s="1"/>
  <c r="J360" i="1"/>
  <c r="F50" i="23" s="1"/>
  <c r="E30" i="6"/>
  <c r="G358" i="1"/>
  <c r="H348" i="2"/>
  <c r="I31" i="6"/>
  <c r="K359" i="1"/>
  <c r="H49" i="23" s="1"/>
  <c r="I28" i="3"/>
  <c r="I29" i="3" s="1"/>
  <c r="K123" i="1" s="1"/>
  <c r="K353" i="1"/>
  <c r="H43" i="23" s="1"/>
  <c r="J474" i="1"/>
  <c r="J10" i="1"/>
  <c r="J85" i="5"/>
  <c r="J54" i="5"/>
  <c r="J119" i="5"/>
  <c r="J63" i="5"/>
  <c r="J156" i="11"/>
  <c r="J140" i="11"/>
  <c r="J99" i="11"/>
  <c r="J78" i="11"/>
  <c r="J73" i="11"/>
  <c r="J312" i="11"/>
  <c r="J197" i="11"/>
  <c r="J279" i="11"/>
  <c r="J248" i="11"/>
  <c r="J57" i="11"/>
  <c r="J254" i="11"/>
  <c r="J214" i="11"/>
  <c r="H41" i="6"/>
  <c r="G416" i="1"/>
  <c r="L416" i="1" s="1"/>
  <c r="G80" i="3"/>
  <c r="G53" i="3"/>
  <c r="G58" i="3"/>
  <c r="G118" i="3"/>
  <c r="G478" i="13"/>
  <c r="G456" i="13"/>
  <c r="G326" i="13"/>
  <c r="G181" i="13"/>
  <c r="G586" i="13"/>
  <c r="G394" i="13"/>
  <c r="G411" i="13"/>
  <c r="G461" i="13"/>
  <c r="G343" i="13"/>
  <c r="G317" i="13"/>
  <c r="G276" i="13"/>
  <c r="G170" i="13"/>
  <c r="G121" i="13"/>
  <c r="G199" i="13"/>
  <c r="G246" i="13"/>
  <c r="G257" i="13"/>
  <c r="G97" i="13"/>
  <c r="G88" i="13"/>
  <c r="I51" i="7"/>
  <c r="I119" i="7"/>
  <c r="I80" i="7"/>
  <c r="I56" i="7"/>
  <c r="I387" i="16"/>
  <c r="I95" i="16"/>
  <c r="I405" i="16"/>
  <c r="I336" i="16"/>
  <c r="I217" i="16"/>
  <c r="I70" i="16"/>
  <c r="I309" i="16"/>
  <c r="I444" i="16"/>
  <c r="I143" i="16"/>
  <c r="I244" i="16"/>
  <c r="I304" i="16"/>
  <c r="I222" i="16"/>
  <c r="I64" i="16"/>
  <c r="I161" i="16"/>
  <c r="D5" i="21"/>
  <c r="I15" i="1"/>
  <c r="I16" i="1" s="1"/>
  <c r="J78" i="1"/>
  <c r="J7" i="1" s="1"/>
  <c r="G42" i="4"/>
  <c r="I104" i="1"/>
  <c r="I46" i="1" s="1"/>
  <c r="J38" i="16"/>
  <c r="L407" i="1"/>
  <c r="J96" i="23" s="1"/>
  <c r="H727" i="12"/>
  <c r="J62" i="17"/>
  <c r="I62" i="17"/>
  <c r="J37" i="16"/>
  <c r="L406" i="1"/>
  <c r="J95" i="23" s="1"/>
  <c r="J14" i="23" s="1"/>
  <c r="E39" i="15"/>
  <c r="E43" i="15" s="1"/>
  <c r="G135" i="1" s="1"/>
  <c r="G399" i="1"/>
  <c r="F566" i="15"/>
  <c r="J37" i="15"/>
  <c r="L397" i="1"/>
  <c r="J86" i="23" s="1"/>
  <c r="I512" i="15"/>
  <c r="I51" i="15" s="1"/>
  <c r="I52" i="15" s="1"/>
  <c r="F524" i="14"/>
  <c r="G524" i="14"/>
  <c r="F55" i="13"/>
  <c r="H390" i="1"/>
  <c r="J595" i="13"/>
  <c r="J60" i="13" s="1"/>
  <c r="J65" i="13" s="1"/>
  <c r="H55" i="13"/>
  <c r="J390" i="1"/>
  <c r="F80" i="23" s="1"/>
  <c r="I54" i="13"/>
  <c r="K389" i="1"/>
  <c r="H79" i="23" s="1"/>
  <c r="H10" i="23" s="1"/>
  <c r="G52" i="12"/>
  <c r="F38" i="12"/>
  <c r="F43" i="12" s="1"/>
  <c r="H132" i="1" s="1"/>
  <c r="H379" i="1"/>
  <c r="E686" i="13"/>
  <c r="G686" i="13"/>
  <c r="J686" i="13"/>
  <c r="H53" i="13"/>
  <c r="J388" i="1"/>
  <c r="F78" i="23" s="1"/>
  <c r="F9" i="23" s="1"/>
  <c r="J54" i="11"/>
  <c r="H40" i="12"/>
  <c r="J381" i="1"/>
  <c r="F71" i="23" s="1"/>
  <c r="H41" i="11"/>
  <c r="J373" i="1"/>
  <c r="F63" i="23" s="1"/>
  <c r="J38" i="12"/>
  <c r="L379" i="1"/>
  <c r="J69" i="23" s="1"/>
  <c r="F495" i="10"/>
  <c r="I34" i="10"/>
  <c r="I38" i="10" s="1"/>
  <c r="K130" i="1" s="1"/>
  <c r="K369" i="1"/>
  <c r="H59" i="23" s="1"/>
  <c r="G495" i="10"/>
  <c r="E441" i="10"/>
  <c r="E46" i="10" s="1"/>
  <c r="J188" i="9"/>
  <c r="E184" i="7"/>
  <c r="J47" i="8"/>
  <c r="L363" i="1"/>
  <c r="J53" i="23" s="1"/>
  <c r="I47" i="8"/>
  <c r="K363" i="1"/>
  <c r="H53" i="23" s="1"/>
  <c r="H189" i="5"/>
  <c r="H28" i="3"/>
  <c r="H29" i="3" s="1"/>
  <c r="J123" i="1" s="1"/>
  <c r="C6" i="21" s="1"/>
  <c r="J353" i="1"/>
  <c r="F43" i="23" s="1"/>
  <c r="J33" i="2"/>
  <c r="L352" i="1"/>
  <c r="J42" i="23" s="1"/>
  <c r="H35" i="7"/>
  <c r="G417" i="1"/>
  <c r="L417" i="1" s="1"/>
  <c r="J46" i="8"/>
  <c r="L362" i="1"/>
  <c r="J52" i="23" s="1"/>
  <c r="J124" i="6"/>
  <c r="J281" i="6"/>
  <c r="J259" i="6"/>
  <c r="J213" i="6"/>
  <c r="J184" i="6"/>
  <c r="J62" i="6"/>
  <c r="J150" i="6"/>
  <c r="J129" i="6"/>
  <c r="J189" i="6"/>
  <c r="J313" i="6"/>
  <c r="J86" i="6"/>
  <c r="J254" i="6"/>
  <c r="J57" i="6"/>
  <c r="J411" i="13"/>
  <c r="J246" i="13"/>
  <c r="J257" i="13"/>
  <c r="J88" i="13"/>
  <c r="J394" i="13"/>
  <c r="J343" i="13"/>
  <c r="J586" i="13"/>
  <c r="J478" i="13"/>
  <c r="J181" i="13"/>
  <c r="J121" i="13"/>
  <c r="J97" i="13"/>
  <c r="J326" i="13"/>
  <c r="J170" i="13"/>
  <c r="J276" i="13"/>
  <c r="J199" i="13"/>
  <c r="J317" i="13"/>
  <c r="J456" i="13"/>
  <c r="J461" i="13"/>
  <c r="J25" i="4"/>
  <c r="J26" i="4" s="1"/>
  <c r="L124" i="1" s="1"/>
  <c r="L354" i="1"/>
  <c r="J44" i="23" s="1"/>
  <c r="E7" i="22"/>
  <c r="E25" i="22" s="1"/>
  <c r="G119" i="5"/>
  <c r="G85" i="5"/>
  <c r="G54" i="5"/>
  <c r="G63" i="5"/>
  <c r="G435" i="15"/>
  <c r="G404" i="15"/>
  <c r="G349" i="15"/>
  <c r="G288" i="15"/>
  <c r="G367" i="15"/>
  <c r="G218" i="15"/>
  <c r="G70" i="15"/>
  <c r="G309" i="15"/>
  <c r="G175" i="15"/>
  <c r="G409" i="15"/>
  <c r="G472" i="15"/>
  <c r="G156" i="15"/>
  <c r="G109" i="15"/>
  <c r="G239" i="15"/>
  <c r="G344" i="15"/>
  <c r="G82" i="15"/>
  <c r="G283" i="15"/>
  <c r="I64" i="9"/>
  <c r="I118" i="9"/>
  <c r="I59" i="9"/>
  <c r="E50" i="2"/>
  <c r="G102" i="1"/>
  <c r="F26" i="15"/>
  <c r="F24" i="16"/>
  <c r="F37" i="13"/>
  <c r="F24" i="12"/>
  <c r="F25" i="14"/>
  <c r="F32" i="11"/>
  <c r="F23" i="10"/>
  <c r="F23" i="9"/>
  <c r="F34" i="8"/>
  <c r="F19" i="6"/>
  <c r="F22" i="5"/>
  <c r="F19" i="7"/>
  <c r="F19" i="4"/>
  <c r="F22" i="3"/>
  <c r="F23" i="2"/>
  <c r="H121" i="1"/>
  <c r="H140" i="1"/>
  <c r="H429" i="1"/>
  <c r="H349" i="1"/>
  <c r="H62" i="1"/>
  <c r="H81" i="1"/>
  <c r="H101" i="1"/>
  <c r="H208" i="1"/>
  <c r="B28" i="22"/>
  <c r="E566" i="15"/>
  <c r="H39" i="15"/>
  <c r="J399" i="1"/>
  <c r="F88" i="23" s="1"/>
  <c r="J67" i="14"/>
  <c r="L114" i="1"/>
  <c r="L56" i="1" s="1"/>
  <c r="E39" i="14"/>
  <c r="G396" i="1"/>
  <c r="H35" i="14"/>
  <c r="H40" i="14" s="1"/>
  <c r="J134" i="1" s="1"/>
  <c r="C16" i="21" s="1"/>
  <c r="J391" i="1"/>
  <c r="F81" i="23" s="1"/>
  <c r="I38" i="14"/>
  <c r="K394" i="1"/>
  <c r="H84" i="23" s="1"/>
  <c r="J50" i="13"/>
  <c r="L385" i="1"/>
  <c r="J75" i="23" s="1"/>
  <c r="I49" i="14"/>
  <c r="I65" i="13"/>
  <c r="I57" i="17"/>
  <c r="J57" i="17"/>
  <c r="I35" i="16"/>
  <c r="K404" i="1"/>
  <c r="H93" i="23" s="1"/>
  <c r="I34" i="16"/>
  <c r="K403" i="1"/>
  <c r="H92" i="23" s="1"/>
  <c r="F49" i="14"/>
  <c r="J55" i="13"/>
  <c r="L390" i="1"/>
  <c r="J80" i="23" s="1"/>
  <c r="J41" i="12"/>
  <c r="L382" i="1"/>
  <c r="J72" i="23" s="1"/>
  <c r="J42" i="15"/>
  <c r="L402" i="1"/>
  <c r="J91" i="23" s="1"/>
  <c r="H52" i="13"/>
  <c r="J387" i="1"/>
  <c r="F77" i="23" s="1"/>
  <c r="I49" i="13"/>
  <c r="K384" i="1"/>
  <c r="H74" i="23" s="1"/>
  <c r="J52" i="13"/>
  <c r="L387" i="1"/>
  <c r="J77" i="23" s="1"/>
  <c r="I686" i="13"/>
  <c r="I36" i="12"/>
  <c r="K377" i="1"/>
  <c r="H67" i="23" s="1"/>
  <c r="H42" i="11"/>
  <c r="J374" i="1"/>
  <c r="F64" i="23" s="1"/>
  <c r="J634" i="12"/>
  <c r="J47" i="12" s="1"/>
  <c r="J52" i="12" s="1"/>
  <c r="I501" i="1"/>
  <c r="I563" i="1" s="1"/>
  <c r="I92" i="1"/>
  <c r="I98" i="1" s="1"/>
  <c r="I20" i="1" s="1"/>
  <c r="B6" i="22" s="1"/>
  <c r="B7" i="22" s="1"/>
  <c r="B25" i="22" s="1"/>
  <c r="E47" i="10"/>
  <c r="I47" i="10"/>
  <c r="F184" i="7"/>
  <c r="G50" i="9"/>
  <c r="I109" i="1"/>
  <c r="I51" i="1" s="1"/>
  <c r="I46" i="8"/>
  <c r="K362" i="1"/>
  <c r="H52" i="23" s="1"/>
  <c r="G184" i="7"/>
  <c r="H38" i="5"/>
  <c r="G415" i="1"/>
  <c r="L415" i="1" s="1"/>
  <c r="J50" i="8"/>
  <c r="L366" i="1"/>
  <c r="J56" i="23" s="1"/>
  <c r="J29" i="6"/>
  <c r="L357" i="1"/>
  <c r="J47" i="23" s="1"/>
  <c r="J411" i="10"/>
  <c r="J42" i="10" s="1"/>
  <c r="J47" i="10" s="1"/>
  <c r="J60" i="8"/>
  <c r="H184" i="7"/>
  <c r="H184" i="8"/>
  <c r="I50" i="2"/>
  <c r="K102" i="1"/>
  <c r="J51" i="7"/>
  <c r="J56" i="7"/>
  <c r="J119" i="7"/>
  <c r="J80" i="7"/>
  <c r="J409" i="15"/>
  <c r="J344" i="15"/>
  <c r="J309" i="15"/>
  <c r="J283" i="15"/>
  <c r="J175" i="15"/>
  <c r="J156" i="15"/>
  <c r="J82" i="15"/>
  <c r="J472" i="15"/>
  <c r="J109" i="15"/>
  <c r="J239" i="15"/>
  <c r="J404" i="15"/>
  <c r="J288" i="15"/>
  <c r="J218" i="15"/>
  <c r="J349" i="15"/>
  <c r="J367" i="15"/>
  <c r="J435" i="15"/>
  <c r="J70" i="15"/>
  <c r="J352" i="1"/>
  <c r="F42" i="23" s="1"/>
  <c r="H33" i="2"/>
  <c r="H32" i="2"/>
  <c r="J351" i="1"/>
  <c r="F41" i="23" s="1"/>
  <c r="H24" i="16"/>
  <c r="H25" i="14"/>
  <c r="H26" i="15"/>
  <c r="H37" i="13"/>
  <c r="H24" i="12"/>
  <c r="H23" i="10"/>
  <c r="H23" i="9"/>
  <c r="H32" i="11"/>
  <c r="H19" i="7"/>
  <c r="H22" i="5"/>
  <c r="H22" i="3"/>
  <c r="H23" i="2"/>
  <c r="H34" i="8"/>
  <c r="J429" i="1"/>
  <c r="H19" i="4"/>
  <c r="H19" i="6"/>
  <c r="J140" i="1"/>
  <c r="J349" i="1"/>
  <c r="F4" i="23" s="1"/>
  <c r="F20" i="23" s="1"/>
  <c r="J62" i="1"/>
  <c r="J101" i="1"/>
  <c r="J81" i="1"/>
  <c r="J208" i="1"/>
  <c r="J121" i="1"/>
  <c r="C4" i="21" s="1"/>
  <c r="G184" i="6"/>
  <c r="G213" i="6"/>
  <c r="G189" i="6"/>
  <c r="G62" i="6"/>
  <c r="G57" i="6"/>
  <c r="G86" i="6"/>
  <c r="G124" i="6"/>
  <c r="G281" i="6"/>
  <c r="G259" i="6"/>
  <c r="G313" i="6"/>
  <c r="G254" i="6"/>
  <c r="G150" i="6"/>
  <c r="G129" i="6"/>
  <c r="G336" i="14"/>
  <c r="G307" i="14"/>
  <c r="G436" i="14"/>
  <c r="G316" i="14"/>
  <c r="G178" i="14"/>
  <c r="G249" i="14"/>
  <c r="G242" i="14"/>
  <c r="G76" i="14"/>
  <c r="G401" i="14"/>
  <c r="G193" i="14"/>
  <c r="G384" i="14"/>
  <c r="G379" i="14"/>
  <c r="G117" i="14"/>
  <c r="G264" i="14"/>
  <c r="G90" i="14"/>
  <c r="G173" i="14"/>
  <c r="I80" i="3"/>
  <c r="I53" i="3"/>
  <c r="I58" i="3"/>
  <c r="I118" i="3"/>
  <c r="I254" i="11"/>
  <c r="I312" i="11"/>
  <c r="I156" i="11"/>
  <c r="I78" i="11"/>
  <c r="I197" i="11"/>
  <c r="I140" i="11"/>
  <c r="I57" i="11"/>
  <c r="I279" i="11"/>
  <c r="I248" i="11"/>
  <c r="I214" i="11"/>
  <c r="I99" i="11"/>
  <c r="I73" i="11"/>
  <c r="I45" i="8"/>
  <c r="K361" i="1"/>
  <c r="H51" i="23" s="1"/>
  <c r="E24" i="16"/>
  <c r="E26" i="15"/>
  <c r="E25" i="14"/>
  <c r="E37" i="13"/>
  <c r="E24" i="12"/>
  <c r="E32" i="11"/>
  <c r="E23" i="10"/>
  <c r="E23" i="9"/>
  <c r="E34" i="8"/>
  <c r="E19" i="6"/>
  <c r="E22" i="5"/>
  <c r="E22" i="3"/>
  <c r="E19" i="7"/>
  <c r="E19" i="4"/>
  <c r="E23" i="2"/>
  <c r="G121" i="1"/>
  <c r="G140" i="1"/>
  <c r="G429" i="1"/>
  <c r="G349" i="1"/>
  <c r="G62" i="1"/>
  <c r="G101" i="1"/>
  <c r="G81" i="1"/>
  <c r="G208" i="1"/>
  <c r="E36" i="16"/>
  <c r="E39" i="16" s="1"/>
  <c r="G136" i="1" s="1"/>
  <c r="G405" i="1"/>
  <c r="G41" i="15"/>
  <c r="I401" i="1"/>
  <c r="D90" i="23" s="1"/>
  <c r="D13" i="23" s="1"/>
  <c r="F37" i="16"/>
  <c r="H406" i="1"/>
  <c r="J40" i="12"/>
  <c r="L381" i="1"/>
  <c r="J71" i="23" s="1"/>
  <c r="E53" i="13"/>
  <c r="E56" i="13" s="1"/>
  <c r="G133" i="1" s="1"/>
  <c r="G388" i="1"/>
  <c r="H49" i="13"/>
  <c r="H56" i="13" s="1"/>
  <c r="J133" i="1" s="1"/>
  <c r="C15" i="21" s="1"/>
  <c r="J384" i="1"/>
  <c r="F74" i="23" s="1"/>
  <c r="F727" i="12"/>
  <c r="G727" i="12"/>
  <c r="F50" i="13"/>
  <c r="H385" i="1"/>
  <c r="H686" i="13"/>
  <c r="I53" i="13"/>
  <c r="K388" i="1"/>
  <c r="H78" i="23" s="1"/>
  <c r="H9" i="23" s="1"/>
  <c r="H37" i="12"/>
  <c r="J378" i="1"/>
  <c r="F68" i="23" s="1"/>
  <c r="J36" i="12"/>
  <c r="L377" i="1"/>
  <c r="J67" i="23" s="1"/>
  <c r="I38" i="12"/>
  <c r="K379" i="1"/>
  <c r="H69" i="23" s="1"/>
  <c r="H38" i="12"/>
  <c r="J379" i="1"/>
  <c r="F69" i="23" s="1"/>
  <c r="F61" i="10"/>
  <c r="H110" i="1"/>
  <c r="H52" i="1" s="1"/>
  <c r="J495" i="10"/>
  <c r="I64" i="11"/>
  <c r="K111" i="1"/>
  <c r="K53" i="1" s="1"/>
  <c r="I50" i="8"/>
  <c r="K366" i="1"/>
  <c r="H56" i="23" s="1"/>
  <c r="F50" i="9"/>
  <c r="H109" i="1"/>
  <c r="H51" i="1" s="1"/>
  <c r="G69" i="8"/>
  <c r="I108" i="1"/>
  <c r="I50" i="1" s="1"/>
  <c r="J42" i="7"/>
  <c r="L127" i="1" s="1"/>
  <c r="L107" i="1"/>
  <c r="L49" i="1" s="1"/>
  <c r="F48" i="8"/>
  <c r="H364" i="1"/>
  <c r="I45" i="5"/>
  <c r="K105" i="1"/>
  <c r="K47" i="1" s="1"/>
  <c r="I49" i="8"/>
  <c r="K365" i="1"/>
  <c r="H55" i="23" s="1"/>
  <c r="J35" i="10"/>
  <c r="L370" i="1"/>
  <c r="J60" i="23" s="1"/>
  <c r="H47" i="8"/>
  <c r="J363" i="1"/>
  <c r="F53" i="23" s="1"/>
  <c r="F29" i="9"/>
  <c r="F30" i="9" s="1"/>
  <c r="H129" i="1" s="1"/>
  <c r="H367" i="1"/>
  <c r="J45" i="8"/>
  <c r="L361" i="1"/>
  <c r="J51" i="23" s="1"/>
  <c r="J48" i="6"/>
  <c r="L106" i="1"/>
  <c r="L48" i="1" s="1"/>
  <c r="I25" i="7"/>
  <c r="I26" i="7" s="1"/>
  <c r="K360" i="1"/>
  <c r="H50" i="23" s="1"/>
  <c r="H28" i="6"/>
  <c r="H32" i="6" s="1"/>
  <c r="J126" i="1" s="1"/>
  <c r="C9" i="21" s="1"/>
  <c r="J356" i="1"/>
  <c r="F46" i="23" s="1"/>
  <c r="J45" i="5"/>
  <c r="L105" i="1"/>
  <c r="L47" i="1" s="1"/>
  <c r="G189" i="5"/>
  <c r="E348" i="2"/>
  <c r="J80" i="3"/>
  <c r="J53" i="3"/>
  <c r="J118" i="3"/>
  <c r="J58" i="3"/>
  <c r="J255" i="8"/>
  <c r="J233" i="8"/>
  <c r="J83" i="8"/>
  <c r="J238" i="8"/>
  <c r="J432" i="8"/>
  <c r="J390" i="8"/>
  <c r="J106" i="8"/>
  <c r="J488" i="8"/>
  <c r="J454" i="8"/>
  <c r="J78" i="8"/>
  <c r="J437" i="8"/>
  <c r="J364" i="8"/>
  <c r="J324" i="8"/>
  <c r="J298" i="8"/>
  <c r="J167" i="8"/>
  <c r="J162" i="8"/>
  <c r="J187" i="8"/>
  <c r="J369" i="8"/>
  <c r="J304" i="8"/>
  <c r="J222" i="16"/>
  <c r="J95" i="16"/>
  <c r="J444" i="16"/>
  <c r="J309" i="16"/>
  <c r="J217" i="16"/>
  <c r="J244" i="16"/>
  <c r="J64" i="16"/>
  <c r="J405" i="16"/>
  <c r="J143" i="16"/>
  <c r="J336" i="16"/>
  <c r="J304" i="16"/>
  <c r="J161" i="16"/>
  <c r="J70" i="16"/>
  <c r="J387" i="16"/>
  <c r="G437" i="8"/>
  <c r="G454" i="8"/>
  <c r="G432" i="8"/>
  <c r="G255" i="8"/>
  <c r="G238" i="8"/>
  <c r="G233" i="8"/>
  <c r="G167" i="8"/>
  <c r="G162" i="8"/>
  <c r="G488" i="8"/>
  <c r="G390" i="8"/>
  <c r="G78" i="8"/>
  <c r="G83" i="8"/>
  <c r="G324" i="8"/>
  <c r="G106" i="8"/>
  <c r="G364" i="8"/>
  <c r="G187" i="8"/>
  <c r="G369" i="8"/>
  <c r="G298" i="8"/>
  <c r="G304" i="8"/>
  <c r="G405" i="16"/>
  <c r="G336" i="16"/>
  <c r="G161" i="16"/>
  <c r="G222" i="16"/>
  <c r="G304" i="16"/>
  <c r="G143" i="16"/>
  <c r="G70" i="16"/>
  <c r="G387" i="16"/>
  <c r="G244" i="16"/>
  <c r="G217" i="16"/>
  <c r="G64" i="16"/>
  <c r="G309" i="16"/>
  <c r="G444" i="16"/>
  <c r="G95" i="16"/>
  <c r="I211" i="2"/>
  <c r="I59" i="2"/>
  <c r="I267" i="2"/>
  <c r="I135" i="2"/>
  <c r="I233" i="2"/>
  <c r="I80" i="2"/>
  <c r="I217" i="2"/>
  <c r="I125" i="2"/>
  <c r="I64" i="2"/>
  <c r="I160" i="2"/>
  <c r="I154" i="10"/>
  <c r="I228" i="10"/>
  <c r="I288" i="10" s="1"/>
  <c r="I347" i="10" s="1"/>
  <c r="I101" i="10"/>
  <c r="I70" i="10"/>
  <c r="I75" i="10"/>
  <c r="I178" i="10"/>
  <c r="I403" i="10"/>
  <c r="I223" i="10"/>
  <c r="I283" i="10" s="1"/>
  <c r="I342" i="10" s="1"/>
  <c r="I244" i="10"/>
  <c r="I304" i="10" s="1"/>
  <c r="I364" i="10" s="1"/>
  <c r="I148" i="10"/>
  <c r="I496" i="8"/>
  <c r="I55" i="8" s="1"/>
  <c r="I60" i="8" s="1"/>
  <c r="G15" i="1"/>
  <c r="F348" i="2"/>
  <c r="J532" i="16"/>
  <c r="G55" i="16"/>
  <c r="I116" i="1"/>
  <c r="I58" i="1" s="1"/>
  <c r="F42" i="15"/>
  <c r="F43" i="15" s="1"/>
  <c r="H135" i="1" s="1"/>
  <c r="H402" i="1"/>
  <c r="H41" i="15"/>
  <c r="J401" i="1"/>
  <c r="F90" i="23" s="1"/>
  <c r="J39" i="14"/>
  <c r="L396" i="1"/>
  <c r="J85" i="23" s="1"/>
  <c r="H52" i="15"/>
  <c r="G425" i="1"/>
  <c r="L425" i="1" s="1"/>
  <c r="I50" i="13"/>
  <c r="K385" i="1"/>
  <c r="H75" i="23" s="1"/>
  <c r="I65" i="17"/>
  <c r="J65" i="17"/>
  <c r="I37" i="16"/>
  <c r="K406" i="1"/>
  <c r="H95" i="23" s="1"/>
  <c r="H14" i="23" s="1"/>
  <c r="J36" i="16"/>
  <c r="L405" i="1"/>
  <c r="J94" i="23" s="1"/>
  <c r="I38" i="16"/>
  <c r="K407" i="1"/>
  <c r="H96" i="23" s="1"/>
  <c r="J41" i="15"/>
  <c r="L401" i="1"/>
  <c r="J90" i="23" s="1"/>
  <c r="I37" i="15"/>
  <c r="K397" i="1"/>
  <c r="H86" i="23" s="1"/>
  <c r="E38" i="14"/>
  <c r="G394" i="1"/>
  <c r="H524" i="14"/>
  <c r="J524" i="14"/>
  <c r="I36" i="14"/>
  <c r="K392" i="1"/>
  <c r="H82" i="23" s="1"/>
  <c r="H37" i="14"/>
  <c r="J393" i="1"/>
  <c r="F83" i="23" s="1"/>
  <c r="I524" i="14"/>
  <c r="I52" i="12"/>
  <c r="J42" i="12"/>
  <c r="L383" i="1"/>
  <c r="J73" i="23" s="1"/>
  <c r="I55" i="13"/>
  <c r="K390" i="1"/>
  <c r="H80" i="23" s="1"/>
  <c r="J36" i="14"/>
  <c r="L392" i="1"/>
  <c r="J82" i="23" s="1"/>
  <c r="I727" i="12"/>
  <c r="F686" i="13"/>
  <c r="J33" i="10"/>
  <c r="L368" i="1"/>
  <c r="J58" i="23" s="1"/>
  <c r="H35" i="10"/>
  <c r="J370" i="1"/>
  <c r="F60" i="23" s="1"/>
  <c r="J37" i="10"/>
  <c r="L372" i="1"/>
  <c r="J62" i="23" s="1"/>
  <c r="H37" i="10"/>
  <c r="J372" i="1"/>
  <c r="F62" i="23" s="1"/>
  <c r="H33" i="10"/>
  <c r="J368" i="1"/>
  <c r="F58" i="23" s="1"/>
  <c r="H495" i="10"/>
  <c r="I50" i="9"/>
  <c r="K109" i="1"/>
  <c r="K51" i="1" s="1"/>
  <c r="G188" i="9"/>
  <c r="J48" i="8"/>
  <c r="L364" i="1"/>
  <c r="J54" i="23" s="1"/>
  <c r="H396" i="6"/>
  <c r="J31" i="6"/>
  <c r="L359" i="1"/>
  <c r="J49" i="23" s="1"/>
  <c r="J188" i="3"/>
  <c r="J49" i="8"/>
  <c r="L365" i="1"/>
  <c r="J55" i="23" s="1"/>
  <c r="L14" i="1"/>
  <c r="J15" i="1"/>
  <c r="J56" i="4"/>
  <c r="J108" i="4"/>
  <c r="J51" i="4"/>
  <c r="J73" i="4"/>
  <c r="J118" i="9"/>
  <c r="J59" i="9"/>
  <c r="J64" i="9"/>
  <c r="H35" i="4"/>
  <c r="G414" i="1"/>
  <c r="L414" i="1" s="1"/>
  <c r="H31" i="2"/>
  <c r="H34" i="2" s="1"/>
  <c r="J122" i="1" s="1"/>
  <c r="J350" i="1"/>
  <c r="J396" i="6"/>
  <c r="F396" i="6"/>
  <c r="I32" i="2"/>
  <c r="I34" i="2" s="1"/>
  <c r="K122" i="1" s="1"/>
  <c r="K351" i="1"/>
  <c r="I5" i="1"/>
  <c r="I39" i="1"/>
  <c r="G118" i="9"/>
  <c r="G64" i="9"/>
  <c r="G59" i="9"/>
  <c r="I85" i="5"/>
  <c r="I54" i="5"/>
  <c r="I63" i="5"/>
  <c r="I119" i="5"/>
  <c r="I513" i="12"/>
  <c r="I449" i="12"/>
  <c r="I625" i="12"/>
  <c r="I592" i="12"/>
  <c r="I565" i="12"/>
  <c r="I325" i="12"/>
  <c r="I427" i="12"/>
  <c r="I343" i="12"/>
  <c r="I367" i="12"/>
  <c r="I179" i="12"/>
  <c r="I403" i="12"/>
  <c r="I284" i="12"/>
  <c r="I257" i="12"/>
  <c r="I119" i="12"/>
  <c r="I94" i="12"/>
  <c r="I533" i="12"/>
  <c r="I160" i="12"/>
  <c r="I504" i="12"/>
  <c r="I55" i="12"/>
  <c r="I262" i="12"/>
  <c r="I198" i="12"/>
  <c r="I570" i="12"/>
  <c r="I89" i="12"/>
  <c r="E343" i="6"/>
  <c r="E40" i="6" s="1"/>
  <c r="E41" i="6" s="1"/>
  <c r="G474" i="1"/>
  <c r="F532" i="16"/>
  <c r="J35" i="16"/>
  <c r="J39" i="16" s="1"/>
  <c r="L136" i="1" s="1"/>
  <c r="L404" i="1"/>
  <c r="J93" i="23" s="1"/>
  <c r="H48" i="16"/>
  <c r="G426" i="1"/>
  <c r="L426" i="1" s="1"/>
  <c r="I40" i="15"/>
  <c r="K400" i="1"/>
  <c r="H89" i="23" s="1"/>
  <c r="F38" i="16"/>
  <c r="H407" i="1"/>
  <c r="F55" i="16"/>
  <c r="H116" i="1"/>
  <c r="H58" i="1" s="1"/>
  <c r="F61" i="15"/>
  <c r="H115" i="1"/>
  <c r="H57" i="1" s="1"/>
  <c r="I51" i="13"/>
  <c r="K386" i="1"/>
  <c r="H76" i="23" s="1"/>
  <c r="I41" i="12"/>
  <c r="K382" i="1"/>
  <c r="H72" i="23" s="1"/>
  <c r="H39" i="12"/>
  <c r="J380" i="1"/>
  <c r="F70" i="23" s="1"/>
  <c r="H36" i="12"/>
  <c r="J377" i="1"/>
  <c r="F67" i="23" s="1"/>
  <c r="E37" i="10"/>
  <c r="G372" i="1"/>
  <c r="J34" i="10"/>
  <c r="L369" i="1"/>
  <c r="J59" i="23" s="1"/>
  <c r="J12" i="23" s="1"/>
  <c r="G37" i="10"/>
  <c r="G38" i="10" s="1"/>
  <c r="I130" i="1" s="1"/>
  <c r="D13" i="21" s="1"/>
  <c r="I372" i="1"/>
  <c r="D62" i="23" s="1"/>
  <c r="D5" i="23" s="1"/>
  <c r="H47" i="10"/>
  <c r="G420" i="1"/>
  <c r="L420" i="1" s="1"/>
  <c r="E79" i="12"/>
  <c r="G112" i="1"/>
  <c r="G54" i="1" s="1"/>
  <c r="E495" i="10"/>
  <c r="J137" i="9"/>
  <c r="J138" i="9" s="1"/>
  <c r="J38" i="9" s="1"/>
  <c r="J39" i="9" s="1"/>
  <c r="J81" i="9"/>
  <c r="I29" i="9"/>
  <c r="I30" i="9" s="1"/>
  <c r="K129" i="1" s="1"/>
  <c r="K367" i="1"/>
  <c r="H57" i="23" s="1"/>
  <c r="E188" i="9"/>
  <c r="E42" i="7"/>
  <c r="G127" i="1" s="1"/>
  <c r="G107" i="1"/>
  <c r="G49" i="1" s="1"/>
  <c r="E396" i="6"/>
  <c r="I29" i="6"/>
  <c r="K357" i="1"/>
  <c r="H47" i="23" s="1"/>
  <c r="J427" i="1"/>
  <c r="G45" i="5"/>
  <c r="I105" i="1"/>
  <c r="I47" i="1" s="1"/>
  <c r="F189" i="5"/>
  <c r="H474" i="1"/>
  <c r="H10" i="1"/>
  <c r="G348" i="2"/>
  <c r="H15" i="1"/>
  <c r="H14" i="1"/>
  <c r="J367" i="12"/>
  <c r="J533" i="12"/>
  <c r="J403" i="12"/>
  <c r="J592" i="12"/>
  <c r="J565" i="12"/>
  <c r="J449" i="12"/>
  <c r="J343" i="12"/>
  <c r="J625" i="12"/>
  <c r="J513" i="12"/>
  <c r="J325" i="12"/>
  <c r="J284" i="12"/>
  <c r="J257" i="12"/>
  <c r="J119" i="12"/>
  <c r="J94" i="12"/>
  <c r="J160" i="12"/>
  <c r="J570" i="12"/>
  <c r="J198" i="12"/>
  <c r="J427" i="12"/>
  <c r="J262" i="12"/>
  <c r="J89" i="12"/>
  <c r="J504" i="12"/>
  <c r="J55" i="12"/>
  <c r="J179" i="12"/>
  <c r="H178" i="4"/>
  <c r="K39" i="1"/>
  <c r="K5" i="1"/>
  <c r="G64" i="2"/>
  <c r="G211" i="2"/>
  <c r="G160" i="2"/>
  <c r="G59" i="2"/>
  <c r="G267" i="2"/>
  <c r="G233" i="2"/>
  <c r="G135" i="2"/>
  <c r="G80" i="2"/>
  <c r="G217" i="2"/>
  <c r="G125" i="2"/>
  <c r="G244" i="10"/>
  <c r="G304" i="10" s="1"/>
  <c r="G364" i="10" s="1"/>
  <c r="G75" i="10"/>
  <c r="G403" i="10"/>
  <c r="G154" i="10"/>
  <c r="G70" i="10"/>
  <c r="G228" i="10"/>
  <c r="G288" i="10" s="1"/>
  <c r="G347" i="10" s="1"/>
  <c r="G178" i="10"/>
  <c r="G223" i="10"/>
  <c r="G283" i="10" s="1"/>
  <c r="G342" i="10" s="1"/>
  <c r="G148" i="10"/>
  <c r="G101" i="10"/>
  <c r="J5" i="23"/>
  <c r="I108" i="4"/>
  <c r="I56" i="4"/>
  <c r="I73" i="4"/>
  <c r="I51" i="4"/>
  <c r="I586" i="13"/>
  <c r="I394" i="13"/>
  <c r="I199" i="13"/>
  <c r="I461" i="13"/>
  <c r="I343" i="13"/>
  <c r="I317" i="13"/>
  <c r="I276" i="13"/>
  <c r="I246" i="13"/>
  <c r="I121" i="13"/>
  <c r="I478" i="13"/>
  <c r="I456" i="13"/>
  <c r="I326" i="13"/>
  <c r="I181" i="13"/>
  <c r="I257" i="13"/>
  <c r="I411" i="13"/>
  <c r="I97" i="13"/>
  <c r="I88" i="13"/>
  <c r="I170" i="13"/>
  <c r="E28" i="6"/>
  <c r="G356" i="1"/>
  <c r="K474" i="1"/>
  <c r="K10" i="1"/>
  <c r="H36" i="16"/>
  <c r="J405" i="1"/>
  <c r="F94" i="23" s="1"/>
  <c r="F35" i="16"/>
  <c r="H404" i="1"/>
  <c r="H65" i="13"/>
  <c r="G423" i="1"/>
  <c r="L423" i="1" s="1"/>
  <c r="F51" i="13"/>
  <c r="H386" i="1"/>
  <c r="J727" i="12"/>
  <c r="E727" i="12"/>
  <c r="J561" i="1"/>
  <c r="J97" i="1"/>
  <c r="C20" i="20" s="1"/>
  <c r="E21" i="20" s="1"/>
  <c r="E42" i="20" s="1"/>
  <c r="H35" i="16"/>
  <c r="J404" i="1"/>
  <c r="F93" i="23" s="1"/>
  <c r="F11" i="23" s="1"/>
  <c r="H37" i="15"/>
  <c r="J397" i="1"/>
  <c r="F86" i="23" s="1"/>
  <c r="I236" i="15"/>
  <c r="J38" i="14"/>
  <c r="L394" i="1"/>
  <c r="J84" i="23" s="1"/>
  <c r="E524" i="14"/>
  <c r="E35" i="14"/>
  <c r="E40" i="14" s="1"/>
  <c r="G134" i="1" s="1"/>
  <c r="G391" i="1"/>
  <c r="G41" i="12"/>
  <c r="G43" i="12" s="1"/>
  <c r="I132" i="1" s="1"/>
  <c r="D14" i="21" s="1"/>
  <c r="I382" i="1"/>
  <c r="D72" i="23" s="1"/>
  <c r="D8" i="23" s="1"/>
  <c r="G54" i="11"/>
  <c r="I37" i="10"/>
  <c r="K372" i="1"/>
  <c r="H62" i="23" s="1"/>
  <c r="J36" i="10"/>
  <c r="L371" i="1"/>
  <c r="J61" i="23" s="1"/>
  <c r="E50" i="8"/>
  <c r="E51" i="8" s="1"/>
  <c r="G128" i="1" s="1"/>
  <c r="G366" i="1"/>
  <c r="E36" i="10"/>
  <c r="G371" i="1"/>
  <c r="H54" i="11"/>
  <c r="H585" i="8"/>
  <c r="F46" i="8"/>
  <c r="F51" i="8" s="1"/>
  <c r="H128" i="1" s="1"/>
  <c r="H362" i="1"/>
  <c r="H408" i="1" s="1"/>
  <c r="I585" i="8"/>
  <c r="I188" i="9"/>
  <c r="J585" i="8"/>
  <c r="J43" i="11"/>
  <c r="J45" i="11" s="1"/>
  <c r="L131" i="1" s="1"/>
  <c r="L375" i="1"/>
  <c r="J65" i="23" s="1"/>
  <c r="E29" i="6"/>
  <c r="G357" i="1"/>
  <c r="F178" i="4"/>
  <c r="J30" i="6"/>
  <c r="L358" i="1"/>
  <c r="J48" i="23" s="1"/>
  <c r="I396" i="6"/>
  <c r="G28" i="5"/>
  <c r="G29" i="5" s="1"/>
  <c r="I125" i="1" s="1"/>
  <c r="D8" i="21" s="1"/>
  <c r="I355" i="1"/>
  <c r="G188" i="3"/>
  <c r="E189" i="5"/>
  <c r="E31" i="6"/>
  <c r="G359" i="1"/>
  <c r="J160" i="2"/>
  <c r="J125" i="2"/>
  <c r="J80" i="2"/>
  <c r="J59" i="2"/>
  <c r="J267" i="2"/>
  <c r="J135" i="2"/>
  <c r="J233" i="2"/>
  <c r="J217" i="2"/>
  <c r="J64" i="2"/>
  <c r="J211" i="2"/>
  <c r="J223" i="10"/>
  <c r="J283" i="10" s="1"/>
  <c r="J342" i="10" s="1"/>
  <c r="J228" i="10"/>
  <c r="J288" i="10" s="1"/>
  <c r="J347" i="10" s="1"/>
  <c r="J101" i="10"/>
  <c r="J70" i="10"/>
  <c r="J148" i="10"/>
  <c r="J403" i="10"/>
  <c r="J75" i="10"/>
  <c r="J178" i="10"/>
  <c r="J154" i="10"/>
  <c r="J244" i="10"/>
  <c r="J304" i="10" s="1"/>
  <c r="J364" i="10" s="1"/>
  <c r="H25" i="4"/>
  <c r="H26" i="4" s="1"/>
  <c r="J124" i="1" s="1"/>
  <c r="C7" i="21" s="1"/>
  <c r="J354" i="1"/>
  <c r="F44" i="23" s="1"/>
  <c r="K15" i="1"/>
  <c r="G56" i="4"/>
  <c r="G108" i="4"/>
  <c r="G51" i="4"/>
  <c r="G73" i="4"/>
  <c r="G140" i="11"/>
  <c r="G254" i="11"/>
  <c r="G312" i="11"/>
  <c r="G214" i="11"/>
  <c r="G99" i="11"/>
  <c r="G57" i="11"/>
  <c r="G156" i="11"/>
  <c r="G197" i="11"/>
  <c r="G279" i="11"/>
  <c r="G73" i="11"/>
  <c r="G78" i="11"/>
  <c r="G248" i="11"/>
  <c r="I313" i="6"/>
  <c r="I86" i="6"/>
  <c r="I57" i="6"/>
  <c r="I124" i="6"/>
  <c r="I281" i="6"/>
  <c r="I259" i="6"/>
  <c r="I213" i="6"/>
  <c r="I184" i="6"/>
  <c r="I62" i="6"/>
  <c r="I254" i="6"/>
  <c r="I150" i="6"/>
  <c r="I129" i="6"/>
  <c r="I189" i="6"/>
  <c r="I384" i="14"/>
  <c r="I379" i="14"/>
  <c r="I336" i="14"/>
  <c r="I264" i="14"/>
  <c r="I242" i="14"/>
  <c r="I307" i="14"/>
  <c r="I117" i="14"/>
  <c r="I436" i="14"/>
  <c r="I173" i="14"/>
  <c r="I90" i="14"/>
  <c r="I76" i="14"/>
  <c r="I316" i="14"/>
  <c r="I249" i="14"/>
  <c r="I401" i="14"/>
  <c r="I193" i="14"/>
  <c r="I178" i="14"/>
  <c r="J31" i="2"/>
  <c r="J34" i="2" s="1"/>
  <c r="L122" i="1" s="1"/>
  <c r="L350" i="1"/>
  <c r="H37" i="16"/>
  <c r="J406" i="1"/>
  <c r="F95" i="23" s="1"/>
  <c r="F14" i="23" s="1"/>
  <c r="G566" i="15"/>
  <c r="I566" i="15"/>
  <c r="G532" i="16"/>
  <c r="I532" i="16"/>
  <c r="H38" i="15"/>
  <c r="J398" i="1"/>
  <c r="F87" i="23" s="1"/>
  <c r="J40" i="15"/>
  <c r="L400" i="1"/>
  <c r="J89" i="23" s="1"/>
  <c r="H532" i="16"/>
  <c r="I38" i="15"/>
  <c r="K398" i="1"/>
  <c r="H87" i="23" s="1"/>
  <c r="E532" i="16"/>
  <c r="J451" i="16"/>
  <c r="J43" i="16" s="1"/>
  <c r="J48" i="16" s="1"/>
  <c r="J38" i="15"/>
  <c r="L398" i="1"/>
  <c r="J87" i="23" s="1"/>
  <c r="I42" i="15"/>
  <c r="K402" i="1"/>
  <c r="H91" i="23" s="1"/>
  <c r="H566" i="15"/>
  <c r="F38" i="14"/>
  <c r="H394" i="1"/>
  <c r="H40" i="15"/>
  <c r="J400" i="1"/>
  <c r="F89" i="23" s="1"/>
  <c r="G42" i="15"/>
  <c r="I402" i="1"/>
  <c r="D91" i="23" s="1"/>
  <c r="D12" i="23" s="1"/>
  <c r="J35" i="14"/>
  <c r="L391" i="1"/>
  <c r="J81" i="23" s="1"/>
  <c r="G67" i="14"/>
  <c r="I114" i="1"/>
  <c r="I56" i="1" s="1"/>
  <c r="I35" i="14"/>
  <c r="K391" i="1"/>
  <c r="H81" i="23" s="1"/>
  <c r="E65" i="13"/>
  <c r="F36" i="14"/>
  <c r="F40" i="14" s="1"/>
  <c r="H134" i="1" s="1"/>
  <c r="H392" i="1"/>
  <c r="G35" i="14"/>
  <c r="G40" i="14" s="1"/>
  <c r="I134" i="1" s="1"/>
  <c r="D16" i="21" s="1"/>
  <c r="I391" i="1"/>
  <c r="D81" i="23" s="1"/>
  <c r="H38" i="14"/>
  <c r="J394" i="1"/>
  <c r="F84" i="23" s="1"/>
  <c r="F56" i="13"/>
  <c r="H133" i="1" s="1"/>
  <c r="E39" i="12"/>
  <c r="E43" i="12" s="1"/>
  <c r="G132" i="1" s="1"/>
  <c r="G380" i="1"/>
  <c r="G79" i="13"/>
  <c r="I113" i="1"/>
  <c r="I55" i="1" s="1"/>
  <c r="J39" i="12"/>
  <c r="L380" i="1"/>
  <c r="J70" i="23" s="1"/>
  <c r="I37" i="12"/>
  <c r="K378" i="1"/>
  <c r="H68" i="23" s="1"/>
  <c r="I42" i="12"/>
  <c r="K383" i="1"/>
  <c r="H73" i="23" s="1"/>
  <c r="F44" i="11"/>
  <c r="F45" i="11" s="1"/>
  <c r="H131" i="1" s="1"/>
  <c r="H376" i="1"/>
  <c r="H39" i="9"/>
  <c r="G419" i="1"/>
  <c r="L419" i="1" s="1"/>
  <c r="H42" i="12"/>
  <c r="J383" i="1"/>
  <c r="F73" i="23" s="1"/>
  <c r="H45" i="8"/>
  <c r="J361" i="1"/>
  <c r="F51" i="23" s="1"/>
  <c r="I495" i="10"/>
  <c r="E54" i="11"/>
  <c r="G585" i="8"/>
  <c r="J25" i="7"/>
  <c r="J26" i="7" s="1"/>
  <c r="L360" i="1"/>
  <c r="J50" i="23" s="1"/>
  <c r="G41" i="6"/>
  <c r="J42" i="4"/>
  <c r="L104" i="1"/>
  <c r="L46" i="1" s="1"/>
  <c r="I321" i="8"/>
  <c r="F42" i="7"/>
  <c r="H127" i="1" s="1"/>
  <c r="H107" i="1"/>
  <c r="H49" i="1" s="1"/>
  <c r="H50" i="8"/>
  <c r="J366" i="1"/>
  <c r="F56" i="23" s="1"/>
  <c r="F6" i="23" s="1"/>
  <c r="G396" i="6"/>
  <c r="I28" i="6"/>
  <c r="K356" i="1"/>
  <c r="H46" i="23" s="1"/>
  <c r="J28" i="5"/>
  <c r="J29" i="5" s="1"/>
  <c r="L125" i="1" s="1"/>
  <c r="L355" i="1"/>
  <c r="J45" i="23" s="1"/>
  <c r="F585" i="8"/>
  <c r="F45" i="5"/>
  <c r="H105" i="1"/>
  <c r="H47" i="1" s="1"/>
  <c r="G45" i="3"/>
  <c r="I103" i="1"/>
  <c r="F188" i="3"/>
  <c r="I348" i="2"/>
  <c r="H43" i="2"/>
  <c r="G412" i="1"/>
  <c r="I188" i="3"/>
  <c r="H188" i="3"/>
  <c r="J348" i="2"/>
  <c r="L474" i="1"/>
  <c r="L10" i="1"/>
  <c r="L16" i="1" s="1"/>
  <c r="L22" i="1" s="1"/>
  <c r="L15" i="1"/>
  <c r="I474" i="1"/>
  <c r="J336" i="14"/>
  <c r="J264" i="14"/>
  <c r="J242" i="14"/>
  <c r="J401" i="14"/>
  <c r="J76" i="14"/>
  <c r="J249" i="14"/>
  <c r="J436" i="14"/>
  <c r="J178" i="14"/>
  <c r="J379" i="14"/>
  <c r="J384" i="14"/>
  <c r="J90" i="14"/>
  <c r="J193" i="14"/>
  <c r="J316" i="14"/>
  <c r="J307" i="14"/>
  <c r="J117" i="14"/>
  <c r="J173" i="14"/>
  <c r="H29" i="6"/>
  <c r="J357" i="1"/>
  <c r="F47" i="23" s="1"/>
  <c r="G14" i="1"/>
  <c r="G16" i="1" s="1"/>
  <c r="J5" i="1"/>
  <c r="J39" i="1"/>
  <c r="G56" i="7"/>
  <c r="G80" i="7"/>
  <c r="G51" i="7"/>
  <c r="G119" i="7"/>
  <c r="G625" i="12"/>
  <c r="G513" i="12"/>
  <c r="G449" i="12"/>
  <c r="G570" i="12"/>
  <c r="G504" i="12"/>
  <c r="G592" i="12"/>
  <c r="G55" i="12"/>
  <c r="G262" i="12"/>
  <c r="G89" i="12"/>
  <c r="G367" i="12"/>
  <c r="G343" i="12"/>
  <c r="G179" i="12"/>
  <c r="G403" i="12"/>
  <c r="G325" i="12"/>
  <c r="G284" i="12"/>
  <c r="G160" i="12"/>
  <c r="G198" i="12"/>
  <c r="G565" i="12"/>
  <c r="G119" i="12"/>
  <c r="G94" i="12"/>
  <c r="G257" i="12"/>
  <c r="G427" i="12"/>
  <c r="G533" i="12"/>
  <c r="I390" i="8"/>
  <c r="I364" i="8"/>
  <c r="I298" i="8"/>
  <c r="I187" i="8"/>
  <c r="I162" i="8"/>
  <c r="I78" i="8"/>
  <c r="I488" i="8"/>
  <c r="I369" i="8"/>
  <c r="I324" i="8"/>
  <c r="I304" i="8"/>
  <c r="I167" i="8"/>
  <c r="I233" i="8"/>
  <c r="I106" i="8"/>
  <c r="I83" i="8"/>
  <c r="I255" i="8"/>
  <c r="I454" i="8"/>
  <c r="I437" i="8"/>
  <c r="I432" i="8"/>
  <c r="I238" i="8"/>
  <c r="I70" i="15"/>
  <c r="I409" i="15"/>
  <c r="I344" i="15"/>
  <c r="I309" i="15"/>
  <c r="I283" i="15"/>
  <c r="I175" i="15"/>
  <c r="I367" i="15"/>
  <c r="I472" i="15"/>
  <c r="I156" i="15"/>
  <c r="I109" i="15"/>
  <c r="I239" i="15"/>
  <c r="I404" i="15"/>
  <c r="I435" i="15"/>
  <c r="I218" i="15"/>
  <c r="I349" i="15"/>
  <c r="I288" i="15"/>
  <c r="I82" i="15"/>
  <c r="H45" i="3"/>
  <c r="J5" i="3" s="1"/>
  <c r="J103" i="1"/>
  <c r="J98" i="1"/>
  <c r="J20" i="1" s="1"/>
  <c r="C6" i="22" s="1"/>
  <c r="C7" i="22" s="1"/>
  <c r="C25" i="22" s="1"/>
  <c r="B29" i="22" l="1"/>
  <c r="B30" i="22" s="1"/>
  <c r="B26" i="22"/>
  <c r="G22" i="1"/>
  <c r="G18" i="1"/>
  <c r="I61" i="15"/>
  <c r="K115" i="1"/>
  <c r="K57" i="1" s="1"/>
  <c r="I22" i="1"/>
  <c r="I18" i="1"/>
  <c r="D26" i="22"/>
  <c r="D29" i="22"/>
  <c r="D30" i="22" s="1"/>
  <c r="C26" i="22"/>
  <c r="C29" i="22"/>
  <c r="C30" i="22" s="1"/>
  <c r="C33" i="22"/>
  <c r="E48" i="6"/>
  <c r="G106" i="1"/>
  <c r="G48" i="1" s="1"/>
  <c r="C25" i="20"/>
  <c r="J45" i="1"/>
  <c r="G408" i="1"/>
  <c r="G43" i="15"/>
  <c r="I135" i="1" s="1"/>
  <c r="D17" i="21" s="1"/>
  <c r="E313" i="6"/>
  <c r="E254" i="6"/>
  <c r="E150" i="6"/>
  <c r="E129" i="6"/>
  <c r="E189" i="6"/>
  <c r="E86" i="6"/>
  <c r="E57" i="6"/>
  <c r="E281" i="6"/>
  <c r="E259" i="6"/>
  <c r="E213" i="6"/>
  <c r="E184" i="6"/>
  <c r="E62" i="6"/>
  <c r="E124" i="6"/>
  <c r="E156" i="15"/>
  <c r="E82" i="15"/>
  <c r="E472" i="15"/>
  <c r="E239" i="15"/>
  <c r="E109" i="15"/>
  <c r="E435" i="15"/>
  <c r="E404" i="15"/>
  <c r="E349" i="15"/>
  <c r="E288" i="15"/>
  <c r="E367" i="15"/>
  <c r="E218" i="15"/>
  <c r="E344" i="15"/>
  <c r="E309" i="15"/>
  <c r="E175" i="15"/>
  <c r="E409" i="15"/>
  <c r="E283" i="15"/>
  <c r="E70" i="15"/>
  <c r="H259" i="6"/>
  <c r="H129" i="6"/>
  <c r="H281" i="6"/>
  <c r="H254" i="6"/>
  <c r="H150" i="6"/>
  <c r="H124" i="6"/>
  <c r="H86" i="6"/>
  <c r="H189" i="6"/>
  <c r="H57" i="6"/>
  <c r="H213" i="6"/>
  <c r="H184" i="6"/>
  <c r="H62" i="6"/>
  <c r="H313" i="6"/>
  <c r="H279" i="11"/>
  <c r="H254" i="11"/>
  <c r="H214" i="11"/>
  <c r="H197" i="11"/>
  <c r="H312" i="11"/>
  <c r="H248" i="11"/>
  <c r="H57" i="11"/>
  <c r="H156" i="11"/>
  <c r="H78" i="11"/>
  <c r="H140" i="11"/>
  <c r="H73" i="11"/>
  <c r="H99" i="11"/>
  <c r="J32" i="6"/>
  <c r="L126" i="1" s="1"/>
  <c r="I56" i="13"/>
  <c r="K133" i="1" s="1"/>
  <c r="I79" i="13"/>
  <c r="K113" i="1"/>
  <c r="K55" i="1" s="1"/>
  <c r="F238" i="8"/>
  <c r="F255" i="8"/>
  <c r="F233" i="8"/>
  <c r="F83" i="8"/>
  <c r="F454" i="8"/>
  <c r="F437" i="8"/>
  <c r="F369" i="8"/>
  <c r="F304" i="8"/>
  <c r="F187" i="8"/>
  <c r="F167" i="8"/>
  <c r="F78" i="8"/>
  <c r="F364" i="8"/>
  <c r="F298" i="8"/>
  <c r="F162" i="8"/>
  <c r="F488" i="8"/>
  <c r="F324" i="8"/>
  <c r="F432" i="8"/>
  <c r="F106" i="8"/>
  <c r="F390" i="8"/>
  <c r="F472" i="15"/>
  <c r="F239" i="15"/>
  <c r="F109" i="15"/>
  <c r="F435" i="15"/>
  <c r="F404" i="15"/>
  <c r="F349" i="15"/>
  <c r="F288" i="15"/>
  <c r="F367" i="15"/>
  <c r="F218" i="15"/>
  <c r="F70" i="15"/>
  <c r="F344" i="15"/>
  <c r="F309" i="15"/>
  <c r="F175" i="15"/>
  <c r="F409" i="15"/>
  <c r="F156" i="15"/>
  <c r="F283" i="15"/>
  <c r="F82" i="15"/>
  <c r="H42" i="7"/>
  <c r="J107" i="1"/>
  <c r="H48" i="6"/>
  <c r="J6" i="6" s="1"/>
  <c r="J106" i="1"/>
  <c r="H67" i="14"/>
  <c r="J6" i="14" s="1"/>
  <c r="J114" i="1"/>
  <c r="J29" i="9"/>
  <c r="J30" i="9" s="1"/>
  <c r="L129" i="1" s="1"/>
  <c r="L367" i="1"/>
  <c r="J57" i="23" s="1"/>
  <c r="E436" i="14"/>
  <c r="E401" i="14"/>
  <c r="E379" i="14"/>
  <c r="E384" i="14"/>
  <c r="E249" i="14"/>
  <c r="E336" i="14"/>
  <c r="E316" i="14"/>
  <c r="E264" i="14"/>
  <c r="E193" i="14"/>
  <c r="E117" i="14"/>
  <c r="E178" i="14"/>
  <c r="E242" i="14"/>
  <c r="E173" i="14"/>
  <c r="E90" i="14"/>
  <c r="E76" i="14"/>
  <c r="E307" i="14"/>
  <c r="H119" i="7"/>
  <c r="H56" i="7"/>
  <c r="H51" i="7"/>
  <c r="H80" i="7"/>
  <c r="H244" i="16"/>
  <c r="H304" i="16"/>
  <c r="H143" i="16"/>
  <c r="H70" i="16"/>
  <c r="H387" i="16"/>
  <c r="H444" i="16"/>
  <c r="H309" i="16"/>
  <c r="H217" i="16"/>
  <c r="H222" i="16"/>
  <c r="H161" i="16"/>
  <c r="H405" i="16"/>
  <c r="H64" i="16"/>
  <c r="H95" i="16"/>
  <c r="H336" i="16"/>
  <c r="E32" i="6"/>
  <c r="G126" i="1" s="1"/>
  <c r="F40" i="23"/>
  <c r="J40" i="23"/>
  <c r="J7" i="23" s="1"/>
  <c r="H16" i="1"/>
  <c r="C5" i="21"/>
  <c r="E488" i="8"/>
  <c r="E369" i="8"/>
  <c r="E324" i="8"/>
  <c r="E304" i="8"/>
  <c r="E167" i="8"/>
  <c r="E390" i="8"/>
  <c r="E364" i="8"/>
  <c r="E298" i="8"/>
  <c r="E187" i="8"/>
  <c r="E162" i="8"/>
  <c r="E78" i="8"/>
  <c r="E106" i="8"/>
  <c r="E432" i="8"/>
  <c r="E83" i="8"/>
  <c r="E437" i="8"/>
  <c r="E238" i="8"/>
  <c r="E233" i="8"/>
  <c r="E255" i="8"/>
  <c r="E454" i="8"/>
  <c r="E444" i="16"/>
  <c r="E244" i="16"/>
  <c r="E304" i="16"/>
  <c r="E143" i="16"/>
  <c r="E95" i="16"/>
  <c r="E387" i="16"/>
  <c r="E336" i="16"/>
  <c r="E222" i="16"/>
  <c r="E217" i="16"/>
  <c r="E161" i="16"/>
  <c r="E405" i="16"/>
  <c r="E309" i="16"/>
  <c r="E70" i="16"/>
  <c r="E64" i="16"/>
  <c r="H108" i="4"/>
  <c r="H56" i="4"/>
  <c r="H51" i="4"/>
  <c r="H73" i="4"/>
  <c r="H64" i="9"/>
  <c r="H59" i="9"/>
  <c r="H118" i="9"/>
  <c r="K44" i="1"/>
  <c r="F67" i="14"/>
  <c r="H114" i="1"/>
  <c r="H56" i="1" s="1"/>
  <c r="I67" i="14"/>
  <c r="K114" i="1"/>
  <c r="K56" i="1" s="1"/>
  <c r="F64" i="9"/>
  <c r="F59" i="9"/>
  <c r="F118" i="9"/>
  <c r="G44" i="1"/>
  <c r="J18" i="1"/>
  <c r="J16" i="1"/>
  <c r="J22" i="1" s="1"/>
  <c r="E38" i="10"/>
  <c r="G130" i="1" s="1"/>
  <c r="H44" i="1"/>
  <c r="E63" i="5"/>
  <c r="E119" i="5"/>
  <c r="E85" i="5"/>
  <c r="E54" i="5"/>
  <c r="F150" i="6"/>
  <c r="F129" i="6"/>
  <c r="F189" i="6"/>
  <c r="F86" i="6"/>
  <c r="F57" i="6"/>
  <c r="F124" i="6"/>
  <c r="F184" i="6"/>
  <c r="F313" i="6"/>
  <c r="F62" i="6"/>
  <c r="F259" i="6"/>
  <c r="F254" i="6"/>
  <c r="F281" i="6"/>
  <c r="F213" i="6"/>
  <c r="F444" i="16"/>
  <c r="F309" i="16"/>
  <c r="F217" i="16"/>
  <c r="F405" i="16"/>
  <c r="F222" i="16"/>
  <c r="F387" i="16"/>
  <c r="F336" i="16"/>
  <c r="F304" i="16"/>
  <c r="F244" i="16"/>
  <c r="F161" i="16"/>
  <c r="F70" i="16"/>
  <c r="F64" i="16"/>
  <c r="F143" i="16"/>
  <c r="F95" i="16"/>
  <c r="J64" i="11"/>
  <c r="L111" i="1"/>
  <c r="L53" i="1" s="1"/>
  <c r="G79" i="12"/>
  <c r="I112" i="1"/>
  <c r="I54" i="1" s="1"/>
  <c r="H39" i="16"/>
  <c r="J136" i="1" s="1"/>
  <c r="C18" i="21" s="1"/>
  <c r="H79" i="13"/>
  <c r="J6" i="13" s="1"/>
  <c r="J113" i="1"/>
  <c r="J50" i="9"/>
  <c r="L109" i="1"/>
  <c r="L51" i="1" s="1"/>
  <c r="G48" i="6"/>
  <c r="I106" i="1"/>
  <c r="I48" i="1" s="1"/>
  <c r="I40" i="14"/>
  <c r="K134" i="1" s="1"/>
  <c r="J55" i="16"/>
  <c r="L116" i="1"/>
  <c r="L58" i="1" s="1"/>
  <c r="F39" i="16"/>
  <c r="H136" i="1" s="1"/>
  <c r="H137" i="1" s="1"/>
  <c r="H38" i="10"/>
  <c r="J130" i="1" s="1"/>
  <c r="C13" i="21" s="1"/>
  <c r="J38" i="10"/>
  <c r="L130" i="1" s="1"/>
  <c r="E59" i="9"/>
  <c r="E118" i="9"/>
  <c r="E64" i="9"/>
  <c r="H70" i="10"/>
  <c r="H403" i="10"/>
  <c r="H154" i="10"/>
  <c r="H228" i="10"/>
  <c r="H288" i="10" s="1"/>
  <c r="H347" i="10" s="1"/>
  <c r="H178" i="10"/>
  <c r="H101" i="10"/>
  <c r="H75" i="10"/>
  <c r="H148" i="10"/>
  <c r="H244" i="10"/>
  <c r="H304" i="10" s="1"/>
  <c r="H364" i="10" s="1"/>
  <c r="H223" i="10"/>
  <c r="H283" i="10" s="1"/>
  <c r="H342" i="10" s="1"/>
  <c r="H8" i="23"/>
  <c r="H11" i="23"/>
  <c r="F267" i="2"/>
  <c r="F135" i="2"/>
  <c r="F64" i="2"/>
  <c r="F211" i="2"/>
  <c r="F160" i="2"/>
  <c r="F59" i="2"/>
  <c r="F233" i="2"/>
  <c r="F80" i="2"/>
  <c r="F125" i="2"/>
  <c r="F217" i="2"/>
  <c r="F228" i="10"/>
  <c r="F288" i="10" s="1"/>
  <c r="F347" i="10" s="1"/>
  <c r="F178" i="10"/>
  <c r="F75" i="10"/>
  <c r="F403" i="10"/>
  <c r="F154" i="10"/>
  <c r="F244" i="10"/>
  <c r="F304" i="10" s="1"/>
  <c r="F364" i="10" s="1"/>
  <c r="F223" i="10"/>
  <c r="F283" i="10" s="1"/>
  <c r="F342" i="10" s="1"/>
  <c r="F148" i="10"/>
  <c r="F70" i="10"/>
  <c r="F101" i="10"/>
  <c r="J13" i="23"/>
  <c r="L44" i="1"/>
  <c r="J79" i="12"/>
  <c r="L112" i="1"/>
  <c r="L54" i="1" s="1"/>
  <c r="D45" i="23"/>
  <c r="I408" i="1"/>
  <c r="H42" i="4"/>
  <c r="J5" i="4" s="1"/>
  <c r="J104" i="1"/>
  <c r="J6" i="23"/>
  <c r="I79" i="12"/>
  <c r="K112" i="1"/>
  <c r="K54" i="1" s="1"/>
  <c r="E217" i="2"/>
  <c r="E125" i="2"/>
  <c r="E64" i="2"/>
  <c r="E211" i="2"/>
  <c r="E160" i="2"/>
  <c r="E59" i="2"/>
  <c r="E267" i="2"/>
  <c r="E135" i="2"/>
  <c r="E233" i="2"/>
  <c r="E80" i="2"/>
  <c r="E178" i="10"/>
  <c r="E148" i="10"/>
  <c r="E101" i="10"/>
  <c r="E75" i="10"/>
  <c r="E244" i="10"/>
  <c r="E304" i="10" s="1"/>
  <c r="E364" i="10" s="1"/>
  <c r="E154" i="10"/>
  <c r="E70" i="10"/>
  <c r="E403" i="10"/>
  <c r="E228" i="10"/>
  <c r="E288" i="10" s="1"/>
  <c r="E347" i="10" s="1"/>
  <c r="E223" i="10"/>
  <c r="E283" i="10" s="1"/>
  <c r="E342" i="10" s="1"/>
  <c r="H106" i="8"/>
  <c r="H364" i="8"/>
  <c r="H298" i="8"/>
  <c r="H162" i="8"/>
  <c r="H488" i="8"/>
  <c r="H432" i="8"/>
  <c r="H324" i="8"/>
  <c r="H83" i="8"/>
  <c r="H390" i="8"/>
  <c r="H238" i="8"/>
  <c r="H233" i="8"/>
  <c r="H454" i="8"/>
  <c r="H255" i="8"/>
  <c r="H187" i="8"/>
  <c r="H369" i="8"/>
  <c r="H304" i="8"/>
  <c r="H78" i="8"/>
  <c r="H167" i="8"/>
  <c r="H437" i="8"/>
  <c r="H592" i="12"/>
  <c r="H565" i="12"/>
  <c r="H570" i="12"/>
  <c r="H504" i="12"/>
  <c r="H427" i="12"/>
  <c r="H533" i="12"/>
  <c r="H403" i="12"/>
  <c r="H449" i="12"/>
  <c r="H284" i="12"/>
  <c r="H262" i="12"/>
  <c r="H89" i="12"/>
  <c r="H367" i="12"/>
  <c r="H343" i="12"/>
  <c r="H179" i="12"/>
  <c r="H625" i="12"/>
  <c r="H513" i="12"/>
  <c r="H325" i="12"/>
  <c r="H257" i="12"/>
  <c r="H119" i="12"/>
  <c r="H94" i="12"/>
  <c r="H198" i="12"/>
  <c r="H160" i="12"/>
  <c r="H55" i="12"/>
  <c r="H46" i="8"/>
  <c r="J362" i="1"/>
  <c r="F52" i="23" s="1"/>
  <c r="F5" i="23" s="1"/>
  <c r="I61" i="10"/>
  <c r="K110" i="1"/>
  <c r="K52" i="1" s="1"/>
  <c r="I43" i="12"/>
  <c r="K132" i="1" s="1"/>
  <c r="I39" i="16"/>
  <c r="K136" i="1" s="1"/>
  <c r="J56" i="13"/>
  <c r="L133" i="1" s="1"/>
  <c r="F58" i="3"/>
  <c r="F53" i="3"/>
  <c r="F118" i="3"/>
  <c r="F80" i="3"/>
  <c r="F73" i="11"/>
  <c r="F156" i="11"/>
  <c r="F140" i="11"/>
  <c r="F99" i="11"/>
  <c r="F78" i="11"/>
  <c r="F254" i="11"/>
  <c r="F279" i="11"/>
  <c r="F248" i="11"/>
  <c r="F197" i="11"/>
  <c r="F57" i="11"/>
  <c r="F214" i="11"/>
  <c r="F312" i="11"/>
  <c r="E26" i="22"/>
  <c r="E29" i="22"/>
  <c r="E30" i="22" s="1"/>
  <c r="J43" i="15"/>
  <c r="L135" i="1" s="1"/>
  <c r="I45" i="1"/>
  <c r="I32" i="6"/>
  <c r="K126" i="1" s="1"/>
  <c r="H51" i="8"/>
  <c r="J128" i="1" s="1"/>
  <c r="C11" i="21" s="1"/>
  <c r="E79" i="13"/>
  <c r="G113" i="1"/>
  <c r="G55" i="1" s="1"/>
  <c r="I69" i="8"/>
  <c r="K108" i="1"/>
  <c r="K50" i="1" s="1"/>
  <c r="J8" i="23"/>
  <c r="H64" i="11"/>
  <c r="J6" i="11" s="1"/>
  <c r="J111" i="1"/>
  <c r="L412" i="1"/>
  <c r="L427" i="1" s="1"/>
  <c r="G427" i="1"/>
  <c r="H50" i="9"/>
  <c r="J5" i="9" s="1"/>
  <c r="J109" i="1"/>
  <c r="G64" i="11"/>
  <c r="I111" i="1"/>
  <c r="I53" i="1" s="1"/>
  <c r="I39" i="15"/>
  <c r="K399" i="1"/>
  <c r="H88" i="23" s="1"/>
  <c r="F8" i="23"/>
  <c r="H41" i="23"/>
  <c r="H7" i="23" s="1"/>
  <c r="H61" i="15"/>
  <c r="J6" i="15" s="1"/>
  <c r="J115" i="1"/>
  <c r="E73" i="4"/>
  <c r="E51" i="4"/>
  <c r="E56" i="4"/>
  <c r="E108" i="4"/>
  <c r="E214" i="11"/>
  <c r="E57" i="11"/>
  <c r="E140" i="11"/>
  <c r="E279" i="11"/>
  <c r="E248" i="11"/>
  <c r="E73" i="11"/>
  <c r="E156" i="11"/>
  <c r="E312" i="11"/>
  <c r="E197" i="11"/>
  <c r="E99" i="11"/>
  <c r="E78" i="11"/>
  <c r="E254" i="11"/>
  <c r="H233" i="2"/>
  <c r="H211" i="2"/>
  <c r="H160" i="2"/>
  <c r="H59" i="2"/>
  <c r="H267" i="2"/>
  <c r="H135" i="2"/>
  <c r="H80" i="2"/>
  <c r="H217" i="2"/>
  <c r="H125" i="2"/>
  <c r="H64" i="2"/>
  <c r="H257" i="13"/>
  <c r="H88" i="13"/>
  <c r="H411" i="13"/>
  <c r="H461" i="13"/>
  <c r="H343" i="13"/>
  <c r="H317" i="13"/>
  <c r="H276" i="13"/>
  <c r="H170" i="13"/>
  <c r="H246" i="13"/>
  <c r="H97" i="13"/>
  <c r="H456" i="13"/>
  <c r="H394" i="13"/>
  <c r="H586" i="13"/>
  <c r="H478" i="13"/>
  <c r="H181" i="13"/>
  <c r="H121" i="13"/>
  <c r="H199" i="13"/>
  <c r="H326" i="13"/>
  <c r="H45" i="5"/>
  <c r="J5" i="5" s="1"/>
  <c r="J105" i="1"/>
  <c r="E61" i="10"/>
  <c r="G110" i="1"/>
  <c r="G52" i="1" s="1"/>
  <c r="F73" i="4"/>
  <c r="F51" i="4"/>
  <c r="F108" i="4"/>
  <c r="F56" i="4"/>
  <c r="F401" i="14"/>
  <c r="F384" i="14"/>
  <c r="F249" i="14"/>
  <c r="F436" i="14"/>
  <c r="F117" i="14"/>
  <c r="F379" i="14"/>
  <c r="F173" i="14"/>
  <c r="F90" i="14"/>
  <c r="F316" i="14"/>
  <c r="F307" i="14"/>
  <c r="F264" i="14"/>
  <c r="F178" i="14"/>
  <c r="F242" i="14"/>
  <c r="F193" i="14"/>
  <c r="F76" i="14"/>
  <c r="F336" i="14"/>
  <c r="H45" i="11"/>
  <c r="J131" i="1" s="1"/>
  <c r="J79" i="13"/>
  <c r="L113" i="1"/>
  <c r="L55" i="1" s="1"/>
  <c r="I137" i="1"/>
  <c r="H5" i="23"/>
  <c r="H79" i="12"/>
  <c r="J6" i="12" s="1"/>
  <c r="J112" i="1"/>
  <c r="L18" i="1"/>
  <c r="E64" i="11"/>
  <c r="G111" i="1"/>
  <c r="G53" i="1" s="1"/>
  <c r="H13" i="23"/>
  <c r="J43" i="12"/>
  <c r="L132" i="1" s="1"/>
  <c r="E80" i="7"/>
  <c r="E56" i="7"/>
  <c r="E51" i="7"/>
  <c r="E119" i="7"/>
  <c r="E513" i="12"/>
  <c r="E449" i="12"/>
  <c r="E625" i="12"/>
  <c r="E343" i="12"/>
  <c r="E403" i="12"/>
  <c r="E367" i="12"/>
  <c r="E325" i="12"/>
  <c r="E427" i="12"/>
  <c r="E160" i="12"/>
  <c r="E198" i="12"/>
  <c r="E592" i="12"/>
  <c r="E55" i="12"/>
  <c r="E262" i="12"/>
  <c r="E89" i="12"/>
  <c r="E179" i="12"/>
  <c r="E570" i="12"/>
  <c r="E533" i="12"/>
  <c r="E284" i="12"/>
  <c r="E257" i="12"/>
  <c r="E504" i="12"/>
  <c r="E565" i="12"/>
  <c r="E119" i="12"/>
  <c r="E94" i="12"/>
  <c r="H118" i="3"/>
  <c r="H58" i="3"/>
  <c r="H53" i="3"/>
  <c r="H80" i="3"/>
  <c r="H367" i="15"/>
  <c r="H218" i="15"/>
  <c r="H70" i="15"/>
  <c r="H409" i="15"/>
  <c r="H344" i="15"/>
  <c r="H309" i="15"/>
  <c r="H283" i="15"/>
  <c r="H175" i="15"/>
  <c r="H349" i="15"/>
  <c r="H472" i="15"/>
  <c r="H156" i="15"/>
  <c r="H109" i="15"/>
  <c r="H239" i="15"/>
  <c r="H288" i="15"/>
  <c r="H82" i="15"/>
  <c r="H404" i="15"/>
  <c r="H435" i="15"/>
  <c r="J69" i="8"/>
  <c r="L108" i="1"/>
  <c r="L50" i="1" s="1"/>
  <c r="F119" i="7"/>
  <c r="F80" i="7"/>
  <c r="F51" i="7"/>
  <c r="F56" i="7"/>
  <c r="F533" i="12"/>
  <c r="F403" i="12"/>
  <c r="F367" i="12"/>
  <c r="F570" i="12"/>
  <c r="F504" i="12"/>
  <c r="F427" i="12"/>
  <c r="F513" i="12"/>
  <c r="F198" i="12"/>
  <c r="F592" i="12"/>
  <c r="F449" i="12"/>
  <c r="F55" i="12"/>
  <c r="F262" i="12"/>
  <c r="F89" i="12"/>
  <c r="F625" i="12"/>
  <c r="F343" i="12"/>
  <c r="F179" i="12"/>
  <c r="F565" i="12"/>
  <c r="F257" i="12"/>
  <c r="F119" i="12"/>
  <c r="F94" i="12"/>
  <c r="F160" i="12"/>
  <c r="F325" i="12"/>
  <c r="F284" i="12"/>
  <c r="D19" i="21"/>
  <c r="H69" i="8"/>
  <c r="J6" i="8" s="1"/>
  <c r="J108" i="1"/>
  <c r="G61" i="10"/>
  <c r="I110" i="1"/>
  <c r="I52" i="1" s="1"/>
  <c r="H50" i="2"/>
  <c r="J6" i="2" s="1"/>
  <c r="J102" i="1"/>
  <c r="F13" i="23"/>
  <c r="K16" i="1"/>
  <c r="H61" i="10"/>
  <c r="J5" i="10" s="1"/>
  <c r="J110" i="1"/>
  <c r="H43" i="12"/>
  <c r="J132" i="1" s="1"/>
  <c r="C14" i="21" s="1"/>
  <c r="H55" i="16"/>
  <c r="J5" i="16" s="1"/>
  <c r="J116" i="1"/>
  <c r="I48" i="8"/>
  <c r="I51" i="8" s="1"/>
  <c r="K128" i="1" s="1"/>
  <c r="K137" i="1" s="1"/>
  <c r="K364" i="1"/>
  <c r="H54" i="23" s="1"/>
  <c r="H6" i="23" s="1"/>
  <c r="J40" i="14"/>
  <c r="L134" i="1" s="1"/>
  <c r="H43" i="15"/>
  <c r="J135" i="1" s="1"/>
  <c r="C17" i="21" s="1"/>
  <c r="J11" i="23"/>
  <c r="I43" i="15"/>
  <c r="K135" i="1" s="1"/>
  <c r="J51" i="8"/>
  <c r="L128" i="1" s="1"/>
  <c r="L137" i="1" s="1"/>
  <c r="E118" i="3"/>
  <c r="E58" i="3"/>
  <c r="E80" i="3"/>
  <c r="E53" i="3"/>
  <c r="E121" i="13"/>
  <c r="E478" i="13"/>
  <c r="E456" i="13"/>
  <c r="E326" i="13"/>
  <c r="E257" i="13"/>
  <c r="E586" i="13"/>
  <c r="E394" i="13"/>
  <c r="E199" i="13"/>
  <c r="E461" i="13"/>
  <c r="E343" i="13"/>
  <c r="E317" i="13"/>
  <c r="E276" i="13"/>
  <c r="E170" i="13"/>
  <c r="E88" i="13"/>
  <c r="E246" i="13"/>
  <c r="E411" i="13"/>
  <c r="E181" i="13"/>
  <c r="E97" i="13"/>
  <c r="H85" i="5"/>
  <c r="H54" i="5"/>
  <c r="H63" i="5"/>
  <c r="H119" i="5"/>
  <c r="H336" i="14"/>
  <c r="H307" i="14"/>
  <c r="H384" i="14"/>
  <c r="H436" i="14"/>
  <c r="H316" i="14"/>
  <c r="H379" i="14"/>
  <c r="H193" i="14"/>
  <c r="H178" i="14"/>
  <c r="H264" i="14"/>
  <c r="H90" i="14"/>
  <c r="H76" i="14"/>
  <c r="H173" i="14"/>
  <c r="H117" i="14"/>
  <c r="H401" i="14"/>
  <c r="H249" i="14"/>
  <c r="H242" i="14"/>
  <c r="J61" i="10"/>
  <c r="L110" i="1"/>
  <c r="L52" i="1" s="1"/>
  <c r="F63" i="5"/>
  <c r="F119" i="5"/>
  <c r="F54" i="5"/>
  <c r="F85" i="5"/>
  <c r="F257" i="13"/>
  <c r="F586" i="13"/>
  <c r="F394" i="13"/>
  <c r="F199" i="13"/>
  <c r="F411" i="13"/>
  <c r="F246" i="13"/>
  <c r="F97" i="13"/>
  <c r="F461" i="13"/>
  <c r="F456" i="13"/>
  <c r="F343" i="13"/>
  <c r="F478" i="13"/>
  <c r="F181" i="13"/>
  <c r="F121" i="13"/>
  <c r="F170" i="13"/>
  <c r="F276" i="13"/>
  <c r="F317" i="13"/>
  <c r="F88" i="13"/>
  <c r="F326" i="13"/>
  <c r="H12" i="23"/>
  <c r="G117" i="1" l="1"/>
  <c r="C29" i="20"/>
  <c r="J49" i="1"/>
  <c r="C32" i="20"/>
  <c r="J52" i="1"/>
  <c r="C34" i="20"/>
  <c r="J54" i="1"/>
  <c r="C33" i="20"/>
  <c r="J53" i="1"/>
  <c r="I11" i="23"/>
  <c r="G59" i="1"/>
  <c r="K117" i="1"/>
  <c r="F97" i="23"/>
  <c r="F7" i="23"/>
  <c r="J6" i="7"/>
  <c r="J127" i="1"/>
  <c r="C34" i="22"/>
  <c r="D33" i="22"/>
  <c r="J408" i="1"/>
  <c r="I12" i="23"/>
  <c r="L117" i="1"/>
  <c r="I8" i="23"/>
  <c r="K59" i="1"/>
  <c r="G137" i="1"/>
  <c r="C36" i="20"/>
  <c r="J56" i="1"/>
  <c r="L59" i="1"/>
  <c r="H117" i="1"/>
  <c r="K7" i="23"/>
  <c r="K22" i="1"/>
  <c r="K18" i="1"/>
  <c r="C30" i="20"/>
  <c r="J50" i="1"/>
  <c r="I5" i="23"/>
  <c r="H15" i="23"/>
  <c r="I7" i="23" s="1"/>
  <c r="K8" i="23"/>
  <c r="I117" i="1"/>
  <c r="C37" i="20"/>
  <c r="J57" i="1"/>
  <c r="I59" i="1"/>
  <c r="C26" i="20"/>
  <c r="J46" i="1"/>
  <c r="K13" i="23"/>
  <c r="C35" i="20"/>
  <c r="J55" i="1"/>
  <c r="H59" i="1"/>
  <c r="C28" i="20"/>
  <c r="J48" i="1"/>
  <c r="D97" i="23"/>
  <c r="D7" i="23"/>
  <c r="I13" i="23"/>
  <c r="C31" i="20"/>
  <c r="J51" i="1"/>
  <c r="H22" i="1"/>
  <c r="H18" i="1"/>
  <c r="K11" i="23"/>
  <c r="C38" i="20"/>
  <c r="J58" i="1"/>
  <c r="C24" i="20"/>
  <c r="J44" i="1"/>
  <c r="J117" i="1"/>
  <c r="C27" i="20"/>
  <c r="J47" i="1"/>
  <c r="K408" i="1"/>
  <c r="J15" i="23"/>
  <c r="K6" i="23" s="1"/>
  <c r="L408" i="1"/>
  <c r="D34" i="22" l="1"/>
  <c r="E33" i="22"/>
  <c r="E34" i="22" s="1"/>
  <c r="C10" i="21"/>
  <c r="C19" i="21" s="1"/>
  <c r="J137" i="1"/>
  <c r="J59" i="1"/>
  <c r="E39" i="20"/>
  <c r="E43" i="20" s="1"/>
  <c r="E44" i="20" s="1"/>
  <c r="I6" i="23"/>
  <c r="G7" i="23"/>
  <c r="D15" i="23"/>
  <c r="K15" i="23"/>
  <c r="K9" i="23"/>
  <c r="K10" i="23"/>
  <c r="K12" i="23"/>
  <c r="K5" i="23"/>
  <c r="K14" i="23"/>
  <c r="I15" i="23"/>
  <c r="I10" i="23"/>
  <c r="I14" i="23"/>
  <c r="I9" i="23"/>
  <c r="F15" i="23"/>
  <c r="G15" i="23" l="1"/>
  <c r="G12" i="23"/>
  <c r="G10" i="23"/>
  <c r="G6" i="23"/>
  <c r="G14" i="23"/>
  <c r="G9" i="23"/>
  <c r="G11" i="23"/>
  <c r="G5" i="23"/>
  <c r="G8" i="23"/>
  <c r="G13" i="23"/>
  <c r="E15" i="23"/>
  <c r="E14" i="23"/>
  <c r="E9" i="23"/>
  <c r="E6" i="23"/>
  <c r="E10" i="23"/>
  <c r="E11" i="23"/>
  <c r="E13" i="23"/>
  <c r="E8" i="23"/>
  <c r="E12" i="23"/>
  <c r="E5" i="23"/>
  <c r="E7" i="23"/>
</calcChain>
</file>

<file path=xl/sharedStrings.xml><?xml version="1.0" encoding="utf-8"?>
<sst xmlns="http://schemas.openxmlformats.org/spreadsheetml/2006/main" count="9177" uniqueCount="3008">
  <si>
    <t>BUDGET ESTIMATES FOR 2016/2017 - 2018/2019</t>
  </si>
  <si>
    <t>Details</t>
  </si>
  <si>
    <t>REVENUE</t>
  </si>
  <si>
    <t>LOCAL REVENUE</t>
  </si>
  <si>
    <t>BUDGETARY AID</t>
  </si>
  <si>
    <t>TOTAL RECCURENT REVENUE</t>
  </si>
  <si>
    <t>EXPENDITURE</t>
  </si>
  <si>
    <t>Salaries</t>
  </si>
  <si>
    <t>Increases in Salaries and Wages</t>
  </si>
  <si>
    <t>Wages</t>
  </si>
  <si>
    <t>Allowances</t>
  </si>
  <si>
    <t>Benefits</t>
  </si>
  <si>
    <t>Services</t>
  </si>
  <si>
    <t>TOTAL RECCURENT EXPENDITURE</t>
  </si>
  <si>
    <t>SURPLUS/(DEFICIT)</t>
  </si>
  <si>
    <t>CAPITAL EXPENDITURE</t>
  </si>
  <si>
    <t>TOTAL EXPENDITURE</t>
  </si>
  <si>
    <t xml:space="preserve"> SUMMARY OF REVENUE (by Classification)  2014/2015 - 2018/2019</t>
  </si>
  <si>
    <t>CATEGORIES</t>
  </si>
  <si>
    <t>Taxes on Income, Profits</t>
  </si>
  <si>
    <t>Property Tax</t>
  </si>
  <si>
    <t>Taxes on Domestic Goods and Services</t>
  </si>
  <si>
    <t>Licenses</t>
  </si>
  <si>
    <t>Taxes on International Trade and Transactions</t>
  </si>
  <si>
    <t>Arrears of Taxes</t>
  </si>
  <si>
    <t>Fees, Fines and Permits</t>
  </si>
  <si>
    <t>Rents, Interest and Dividends</t>
  </si>
  <si>
    <t>ECCB Profits</t>
  </si>
  <si>
    <t>Reimbursements</t>
  </si>
  <si>
    <t>Other Revenue</t>
  </si>
  <si>
    <t>Total Local Revenue</t>
  </si>
  <si>
    <t>Budgetary  Aid/Grants</t>
  </si>
  <si>
    <t>TOTAL REVENUE</t>
  </si>
  <si>
    <t xml:space="preserve"> ABSTRACT OF ACTUAL EXPENDITURE 2014 - 2015</t>
  </si>
  <si>
    <t>APPROVED &amp; REVISED 2015/2016  AND ESTIMATED EXPENDITURE 2016/2017 - 2018/2019</t>
  </si>
  <si>
    <t xml:space="preserve">        VOTES &amp; DETAILS    </t>
  </si>
  <si>
    <t>05</t>
  </si>
  <si>
    <t>POLICE SERVICE</t>
  </si>
  <si>
    <t>07</t>
  </si>
  <si>
    <t>LEGAL</t>
  </si>
  <si>
    <t>08</t>
  </si>
  <si>
    <t>MAGISTRATE'S COURT SERVICE</t>
  </si>
  <si>
    <t>09</t>
  </si>
  <si>
    <t>SUPREME COURT</t>
  </si>
  <si>
    <t>LEGISLATURE</t>
  </si>
  <si>
    <t>AUDIT OFFICE</t>
  </si>
  <si>
    <t xml:space="preserve">OFFICE OF THE DEPUTY GOVERNOR </t>
  </si>
  <si>
    <t xml:space="preserve">PUBLIC PROSECUTION </t>
  </si>
  <si>
    <t>OFFICE OF THE PREMIER</t>
  </si>
  <si>
    <t xml:space="preserve">CABINET SECRETARIAT </t>
  </si>
  <si>
    <t>MINISTRY OF FINANCE &amp; ECONOMIC MGMNT</t>
  </si>
  <si>
    <t>MINISTRY OF AGRICULTURE</t>
  </si>
  <si>
    <t>MINISTRY OF COMMUNICATIONS, WORKS &amp; LABOUR</t>
  </si>
  <si>
    <t>MINISTRY OF EDUCATION, YOUTH AFFAIRS AND SPORTS</t>
  </si>
  <si>
    <t>MINISTRY OF HEALTH AND SOCIAL SERVICES</t>
  </si>
  <si>
    <t>TOTAL  EXPENDITURE</t>
  </si>
  <si>
    <t>SUMMARY OF REVENUE  -  2014/2015 - 2018/2019</t>
  </si>
  <si>
    <t xml:space="preserve">VOTES &amp; DETAILS    </t>
  </si>
  <si>
    <t>POLICE</t>
  </si>
  <si>
    <t>MAGISTRATE'S COURT</t>
  </si>
  <si>
    <t>TOTAL  REVENUE</t>
  </si>
  <si>
    <t>SUMMARY OF CAPITAL EXPENDITURE 2014/2015 - 2018/2019</t>
  </si>
  <si>
    <t>01</t>
  </si>
  <si>
    <t>CONSOLIDATED FUND GENERAL SERVICES</t>
  </si>
  <si>
    <t>MINISTRY OF FINANCE</t>
  </si>
  <si>
    <t>AGRICULTURE</t>
  </si>
  <si>
    <t>COMMUNICATIONS, WORKS &amp; LABOUR</t>
  </si>
  <si>
    <t>EDUCATION, YOUTH AFFAIRS AND SPORTS</t>
  </si>
  <si>
    <t>HEALTH AND SOCIAL SERVICES</t>
  </si>
  <si>
    <t>TOTAL CAPITAL EXPENDITURE</t>
  </si>
  <si>
    <t>SUMMARY OF RECURRENT EXPENDITURE 2014/2015 - 2018/2019</t>
  </si>
  <si>
    <t>SUMMARY OF CAPITAL &amp; RECURRENT EXPENDITURE 2014/2015 - 2018/2019</t>
  </si>
  <si>
    <t>SUMMARY OF RECURRENT REVENUE BY PROGRAMME 2014/2015 - 2018/2019</t>
  </si>
  <si>
    <t>HEADS &amp; DETAILS</t>
  </si>
  <si>
    <t>001</t>
  </si>
  <si>
    <t>002</t>
  </si>
  <si>
    <t>LOAN CAPITAL REPAYMENTS</t>
  </si>
  <si>
    <t>003</t>
  </si>
  <si>
    <t>INTEREST PAYMENTS</t>
  </si>
  <si>
    <t>004</t>
  </si>
  <si>
    <t>GUARANTEE PAYMENTS</t>
  </si>
  <si>
    <t>005</t>
  </si>
  <si>
    <t>PENSIONS &amp; GRATUITIES</t>
  </si>
  <si>
    <t>006</t>
  </si>
  <si>
    <t>MISCELLANEOUS</t>
  </si>
  <si>
    <t>050</t>
  </si>
  <si>
    <t>FIRE FIGHTING AND RESCUE SERVICE</t>
  </si>
  <si>
    <t>051</t>
  </si>
  <si>
    <t>POLICING SERVICES</t>
  </si>
  <si>
    <t>052</t>
  </si>
  <si>
    <t>FINANCIAL CRIME AND ANALYSIS UNIT</t>
  </si>
  <si>
    <t>070</t>
  </si>
  <si>
    <t xml:space="preserve">ADMINISTRATION OF JUSTICE </t>
  </si>
  <si>
    <t>080</t>
  </si>
  <si>
    <t>MAGISTRATE'S COURT SERVICES</t>
  </si>
  <si>
    <t>090</t>
  </si>
  <si>
    <t>SUPREME COURT SERVICES</t>
  </si>
  <si>
    <t>100</t>
  </si>
  <si>
    <t xml:space="preserve">LEGISLATURE </t>
  </si>
  <si>
    <t>101</t>
  </si>
  <si>
    <t>CONSTITUTION COMMISSION SECRETARIAT</t>
  </si>
  <si>
    <t>102</t>
  </si>
  <si>
    <t>AUDIT</t>
  </si>
  <si>
    <t>OFFICE OF THE OPPOSITION</t>
  </si>
  <si>
    <t>120</t>
  </si>
  <si>
    <t xml:space="preserve">OFFICE OF THE DEPUTY GOVERNOR      </t>
  </si>
  <si>
    <t>121</t>
  </si>
  <si>
    <t>HUMAN RESOURCES</t>
  </si>
  <si>
    <t>122</t>
  </si>
  <si>
    <t>PRISON SERVICES</t>
  </si>
  <si>
    <t>123</t>
  </si>
  <si>
    <t>DEFENCE FORCE</t>
  </si>
  <si>
    <t>124</t>
  </si>
  <si>
    <t xml:space="preserve">DISASTER MGMNT COORDINATION AGENCY </t>
  </si>
  <si>
    <t>125</t>
  </si>
  <si>
    <t>GOVERNOR</t>
  </si>
  <si>
    <t>130</t>
  </si>
  <si>
    <t>150</t>
  </si>
  <si>
    <t>STRATEGIC MANAGEMENT AND ADMINISTRATION</t>
  </si>
  <si>
    <t>BROADCASTING</t>
  </si>
  <si>
    <t>153</t>
  </si>
  <si>
    <t>EXTERNAL AFFAIRS</t>
  </si>
  <si>
    <t>DEVELOPMENT PLANNING AND POLICY CO-ORDINATION</t>
  </si>
  <si>
    <t>INFORMATION TECHNOLOGY &amp; E-GOVERNMENT SERVICES</t>
  </si>
  <si>
    <t>170</t>
  </si>
  <si>
    <t>171</t>
  </si>
  <si>
    <t>172</t>
  </si>
  <si>
    <t>173</t>
  </si>
  <si>
    <t>200</t>
  </si>
  <si>
    <t>STRATEGIC MANAGEMENT &amp; ADMINISTRATION</t>
  </si>
  <si>
    <t>203</t>
  </si>
  <si>
    <t>FISCAL POLICY &amp; ECONOMIC MANAGEMENT</t>
  </si>
  <si>
    <t>204</t>
  </si>
  <si>
    <t>STATISTICAL MANAGEMENT</t>
  </si>
  <si>
    <t>205</t>
  </si>
  <si>
    <t>TREASURY MANAGEMENT</t>
  </si>
  <si>
    <t>206</t>
  </si>
  <si>
    <t>CUSTOMS &amp; REVENUE SERVICES</t>
  </si>
  <si>
    <t>207</t>
  </si>
  <si>
    <t>POSTAL SERVICES</t>
  </si>
  <si>
    <t>INTERNAL AUDIT</t>
  </si>
  <si>
    <t>300</t>
  </si>
  <si>
    <t>STRATEGIC  ADMINISTRATION AND PLANNING</t>
  </si>
  <si>
    <t>301</t>
  </si>
  <si>
    <t>AGRICULTURAL SERVICES</t>
  </si>
  <si>
    <t>302</t>
  </si>
  <si>
    <t xml:space="preserve">LAND ADMINISTRATION                     </t>
  </si>
  <si>
    <t>303</t>
  </si>
  <si>
    <t>PHYSICAL PLANNING &amp; DEVELOPMENT SERVICES</t>
  </si>
  <si>
    <t>304</t>
  </si>
  <si>
    <t>ENVIRONMENTAL MANAGEMENT</t>
  </si>
  <si>
    <t>305</t>
  </si>
  <si>
    <t>HOUSING POLICY &amp; SUPPORT SERVICES</t>
  </si>
  <si>
    <t>TRADE, INVESTMENT &amp; BUREAU FOR STANDARDS &amp; QUALITY</t>
  </si>
  <si>
    <t>350</t>
  </si>
  <si>
    <t>351</t>
  </si>
  <si>
    <t xml:space="preserve">INFRASTRUCTURE SERVICES    </t>
  </si>
  <si>
    <t>352</t>
  </si>
  <si>
    <t>PLANT HIRE AND MECHANICAL SERVICES</t>
  </si>
  <si>
    <t>353</t>
  </si>
  <si>
    <t xml:space="preserve">AIRPORT MANAGEMENT &amp; OPERATION                            </t>
  </si>
  <si>
    <t>354</t>
  </si>
  <si>
    <t>MCW ON BEHALF OF OTHER MINISTRIES &amp; DEPARTMENT</t>
  </si>
  <si>
    <t>355</t>
  </si>
  <si>
    <t xml:space="preserve">INDUSTRIAL RELATIONS &amp; EMPLOYMENT SERVICES                 </t>
  </si>
  <si>
    <t>400</t>
  </si>
  <si>
    <t>STRATEGIC MANAGEMENT, ADMINISTRATION, AND SUPPORT SERVICES</t>
  </si>
  <si>
    <t>401</t>
  </si>
  <si>
    <t xml:space="preserve">PRIMARY EDUCATION                  </t>
  </si>
  <si>
    <t>402</t>
  </si>
  <si>
    <t xml:space="preserve">SECONDARY EDUCATION                </t>
  </si>
  <si>
    <t>403</t>
  </si>
  <si>
    <t>LIBRARY  AND INFORMATION SERVICES</t>
  </si>
  <si>
    <t>404</t>
  </si>
  <si>
    <t>EARLY CHILDHOOD EDUCATION</t>
  </si>
  <si>
    <t>406</t>
  </si>
  <si>
    <t>YOUTH AFFAIRS AND SPORTS</t>
  </si>
  <si>
    <t>450</t>
  </si>
  <si>
    <t xml:space="preserve">STRATEGIC MANAGEMENT &amp; ADMINISTRATION          </t>
  </si>
  <si>
    <t>451</t>
  </si>
  <si>
    <t xml:space="preserve">PRIMARY HEALTH CARE                </t>
  </si>
  <si>
    <t>452</t>
  </si>
  <si>
    <t xml:space="preserve">SECONDARY HEALTH CARE              </t>
  </si>
  <si>
    <t>454</t>
  </si>
  <si>
    <t xml:space="preserve">SOCIAL SERVICES    </t>
  </si>
  <si>
    <t>455</t>
  </si>
  <si>
    <t>ENVIRONMENTAL HEALTH</t>
  </si>
  <si>
    <t>SUMMARY OF RECURRENT REVENUE 2014/2015 - 2018/2019</t>
  </si>
  <si>
    <t>SUBHDS &amp; DETAILS</t>
  </si>
  <si>
    <t>110</t>
  </si>
  <si>
    <t>152</t>
  </si>
  <si>
    <t>306</t>
  </si>
  <si>
    <t>SUMMARY OF RECURRENT EXPENDITURE BY PROGRAMME  2014/2015 - 2018/2019</t>
  </si>
  <si>
    <t>EXTERNAL AFFAIRS &amp; TRADE</t>
  </si>
  <si>
    <t xml:space="preserve">  VOTES &amp; DETAILS    </t>
  </si>
  <si>
    <t>SALARIES</t>
  </si>
  <si>
    <t>WAGES</t>
  </si>
  <si>
    <t>ALLOWNCS</t>
  </si>
  <si>
    <t>BENEFITS</t>
  </si>
  <si>
    <t>SERVICES</t>
  </si>
  <si>
    <t>TOTAL</t>
  </si>
  <si>
    <t>Public Sector Reform Initiatives</t>
  </si>
  <si>
    <t>Pensions &amp; Gratuities</t>
  </si>
  <si>
    <t>Other Benefits</t>
  </si>
  <si>
    <t xml:space="preserve">Local Travel </t>
  </si>
  <si>
    <t>International Travel &amp; Subsistence</t>
  </si>
  <si>
    <t>Utilities</t>
  </si>
  <si>
    <t>Communication Expenses</t>
  </si>
  <si>
    <t>Supplies &amp; Materials</t>
  </si>
  <si>
    <t>Furniture Equipment and Resources  </t>
  </si>
  <si>
    <t>Uniform/Protective Clothing</t>
  </si>
  <si>
    <t>Maintenance Services</t>
  </si>
  <si>
    <t>Rental of Assets</t>
  </si>
  <si>
    <t>Professional Services and Fees</t>
  </si>
  <si>
    <t>Insurance</t>
  </si>
  <si>
    <t>Hosting &amp; Entertainment</t>
  </si>
  <si>
    <t>Training</t>
  </si>
  <si>
    <t>Advertising</t>
  </si>
  <si>
    <t>Printing &amp; Binding</t>
  </si>
  <si>
    <t xml:space="preserve">Investment Promotions </t>
  </si>
  <si>
    <t>Grants &amp; Contributions</t>
  </si>
  <si>
    <t>Subventions</t>
  </si>
  <si>
    <t>Social Protection</t>
  </si>
  <si>
    <t>Health Care Promotion</t>
  </si>
  <si>
    <t>Revenue Refunds</t>
  </si>
  <si>
    <t>Claims against Government</t>
  </si>
  <si>
    <t>MALHE Activities            </t>
  </si>
  <si>
    <t>Emergency Expenditure</t>
  </si>
  <si>
    <t>Sundry Expenses</t>
  </si>
  <si>
    <t>Culture                            </t>
  </si>
  <si>
    <t>Mechanical Spares                  </t>
  </si>
  <si>
    <t>Operation of Hot Mix Plant</t>
  </si>
  <si>
    <t>Operation of Plant &amp; Workshop</t>
  </si>
  <si>
    <t>Programme Production &amp; Promotion</t>
  </si>
  <si>
    <t>Minor Works</t>
  </si>
  <si>
    <t>Re-saleable Stock</t>
  </si>
  <si>
    <t>Environmental Protection</t>
  </si>
  <si>
    <t>Law Enforcement</t>
  </si>
  <si>
    <t>Debt Servicing - Domestic</t>
  </si>
  <si>
    <t>Debt Servicing - Foreign</t>
  </si>
  <si>
    <t>Debt Servicing - Interest</t>
  </si>
  <si>
    <t>SUMMARY OF CAPITAL EXPENDITURE BY MINISTRY  2014/2015 - 2018/2019</t>
  </si>
  <si>
    <t>Details of Expenditure</t>
  </si>
  <si>
    <t>SHD</t>
  </si>
  <si>
    <t>Donor</t>
  </si>
  <si>
    <t>Description</t>
  </si>
  <si>
    <t>12- OFFICE OF THE DEPUTY GOVERNOR</t>
  </si>
  <si>
    <t>15 - OFFICE OF THE PREMIER</t>
  </si>
  <si>
    <t>17 - CABINET SECRETARIAT</t>
  </si>
  <si>
    <t>20 - MINISTRY OF FINANCE &amp; ECONOMIC MGMNT</t>
  </si>
  <si>
    <t>30 - AGRICULTURE</t>
  </si>
  <si>
    <t>35 - COMMUNICATIONS, WORKS &amp; LABOUR</t>
  </si>
  <si>
    <t>40 - EDUCATION, YOUTH AFFAIRS AND SPORTS</t>
  </si>
  <si>
    <t>45 - Health and Social Services</t>
  </si>
  <si>
    <t>BUDGET AND FORWARD ESTIMATES</t>
  </si>
  <si>
    <t>VOTE:  05 POLICE SERVICE – SUMMARY</t>
  </si>
  <si>
    <t>A.</t>
  </si>
  <si>
    <t>ESTIMATES of Revenue and Expenditure for the period 1st April 2016  to 31st March, 2019 for salaries and the expenses of the</t>
  </si>
  <si>
    <t>Royal Montserrat Police Service, Fire and Rescue Services and Financial Crime and Analysis -</t>
  </si>
  <si>
    <t>Six million, two hundred and sixty-six thousand, seven hundred dollars.</t>
  </si>
  <si>
    <t>B.</t>
  </si>
  <si>
    <t>ACCOUNTING OFFICER:</t>
  </si>
  <si>
    <t>Commissioner of Police</t>
  </si>
  <si>
    <t>C.</t>
  </si>
  <si>
    <t>SUB-HEADS  which under this vote will be accounted for by the Commissioner of Police</t>
  </si>
  <si>
    <t>STRATEGIC PRIORITIES</t>
  </si>
  <si>
    <t>An efficient, responsive and accountable system of governance in the public service.</t>
  </si>
  <si>
    <t>NATIONAL OUTCOMES</t>
  </si>
  <si>
    <t>Maintaining high standards of public order and safety.</t>
  </si>
  <si>
    <t>VISION</t>
  </si>
  <si>
    <t>To be recognized as a well-trained, professional entity ready to respond adequately to crimes, emergencies and related threats.</t>
  </si>
  <si>
    <t>Our vision is to maintain a cadre of skilled and competent staff through training and development programs, providing adequate  and serviceable emergency vehicles and equipment, with an aim of being the most proficient emergency service provider in the region.</t>
  </si>
  <si>
    <t>MISSION STATEMENT</t>
  </si>
  <si>
    <t>To provide the people of Montserrat with intelligence, policing and emergency response services for the protection of life and property.</t>
  </si>
  <si>
    <t>Our mission is to provide the people of Montserrat with such an efficient and effective emergency response service for the protection of life and property from all fires, and all other accidents and natural disasters.</t>
  </si>
  <si>
    <t>BUDGET SUMMARY</t>
  </si>
  <si>
    <t>SUMMARY OF REVENUES BY PROGRAMME</t>
  </si>
  <si>
    <t>Fire &amp; Rescue Services</t>
  </si>
  <si>
    <t>Police Services</t>
  </si>
  <si>
    <t>Financial Crime &amp; Analysis Unit</t>
  </si>
  <si>
    <t>TOTAL REVENUE VOTE 05</t>
  </si>
  <si>
    <t>SUMMARY OF EXPENDITURE BY PROGRAMME</t>
  </si>
  <si>
    <t>TOTAL EXPENDITURE VOTE 05</t>
  </si>
  <si>
    <t>SUMMARY OF EXPENDITURE BY ECONOMIC CLASSIFICATION</t>
  </si>
  <si>
    <t>RECURRENT EXPENDITURE</t>
  </si>
  <si>
    <t xml:space="preserve">ALLOWANCES </t>
  </si>
  <si>
    <t>GOOD AND SERVICES</t>
  </si>
  <si>
    <t>TOTAL RECURRENT EXPENDITURE</t>
  </si>
  <si>
    <t>STAFFING RESOURCES</t>
  </si>
  <si>
    <t xml:space="preserve">TOTAL STAFFING </t>
  </si>
  <si>
    <t>PROGRAMME 050:  FIRE FIGHTING AND RESCUE SERVICE</t>
  </si>
  <si>
    <t>PROGRAMME OBJECTIVE:</t>
  </si>
  <si>
    <t>To protect life and property through timely response and effective firefighting</t>
  </si>
  <si>
    <t>RECURRENT REVENUE</t>
  </si>
  <si>
    <t>Pensions and Gratuities</t>
  </si>
  <si>
    <t>Total  Salaries</t>
  </si>
  <si>
    <t>GOODS AND SERVICES</t>
  </si>
  <si>
    <t>Supplies and Materials</t>
  </si>
  <si>
    <t>Total Goods and Services</t>
  </si>
  <si>
    <t xml:space="preserve">RECURRENT EXPENDITURE </t>
  </si>
  <si>
    <t>STAFF POSTS</t>
  </si>
  <si>
    <t>Scale</t>
  </si>
  <si>
    <t>Count</t>
  </si>
  <si>
    <t>TOTAL STAFF</t>
  </si>
  <si>
    <t>PROGRAMME PERFORMANCE INFORMATION</t>
  </si>
  <si>
    <t xml:space="preserve">KEY STRATEGIES FOR 2016/17: </t>
  </si>
  <si>
    <t>Develop aerodrome fire department to maintain current capacity and training level and expand services to regional counterparts. 3.2</t>
  </si>
  <si>
    <t xml:space="preserve">Improve coordination with MoHSS for EMS training to increase capacity for responding to medical emergencies. </t>
  </si>
  <si>
    <t>Strengthen capacities within the Fire Prevention Unit to comply with the building code and safety standards. 3.3</t>
  </si>
  <si>
    <t>Improve efficiency and effectiveness in Fire and rescue emergency response through the acquisition of major equipment, training and staffing</t>
  </si>
  <si>
    <t>Enhanced capacity for national Search and rescue unit to respond to major incidents and disasters through the acquisition of equipment, training and a designated recurrent budget.</t>
  </si>
  <si>
    <t>KEY STRATEGIES FOR 2015/16</t>
  </si>
  <si>
    <t>Develop junior fire brigade to build capacity and reduce risks of fire through increasing awareness of public safety*</t>
  </si>
  <si>
    <t>Enhanced capacity for search and rescue through training and equipment*</t>
  </si>
  <si>
    <t>Improve efficiency and effectiveness of service with the ability to purchase new equipment and replacements.</t>
  </si>
  <si>
    <t>KEY PERFORMANCE INDICATORS</t>
  </si>
  <si>
    <r>
      <t xml:space="preserve">Output Indicators </t>
    </r>
    <r>
      <rPr>
        <sz val="8"/>
        <color theme="1"/>
        <rFont val="Arial"/>
        <family val="2"/>
      </rPr>
      <t>(Specify what has been/will be produced or delivered by the programme.)</t>
    </r>
  </si>
  <si>
    <t xml:space="preserve">No of days Aerodrome fire service provided.  </t>
  </si>
  <si>
    <t>No of responses to emergency calls</t>
  </si>
  <si>
    <t>No of buildings inspected for fire safety compliance</t>
  </si>
  <si>
    <t>No of fire safety educational programmes delivered</t>
  </si>
  <si>
    <t>No of Fire and rescue and development training delivered</t>
  </si>
  <si>
    <t>No of Aerodrome training delivered Training indicator?</t>
  </si>
  <si>
    <t>No of Search and rescue training sessions delivered</t>
  </si>
  <si>
    <r>
      <t xml:space="preserve">Outcome Indicators </t>
    </r>
    <r>
      <rPr>
        <sz val="8"/>
        <color theme="1"/>
        <rFont val="Arial"/>
        <family val="2"/>
      </rPr>
      <t>(Specify the outcomes or impact the programme has achieved or is having with reference to the Ministry’s strategic goals and programme objectives.)</t>
    </r>
  </si>
  <si>
    <t>Average response time to calls</t>
  </si>
  <si>
    <t xml:space="preserve"> 8.5 mins </t>
  </si>
  <si>
    <t> 9 mins</t>
  </si>
  <si>
    <t> 7mins</t>
  </si>
  <si>
    <t> 7 mins</t>
  </si>
  <si>
    <t>No of buildings inspected for which fire safety notices are issued</t>
  </si>
  <si>
    <t>No of buildings damaged by fire</t>
  </si>
  <si>
    <t>PROGRAMME 051:  POLICING SERVICE</t>
  </si>
  <si>
    <t>To reduce crime and other offences, to maintain control of borders and immigration and to improve road safety</t>
  </si>
  <si>
    <t xml:space="preserve">Driver's Licenses                 </t>
  </si>
  <si>
    <t xml:space="preserve">Firearms Licenses              </t>
  </si>
  <si>
    <t xml:space="preserve">Liquor &amp; Still Licenses       </t>
  </si>
  <si>
    <t>Immigration Fees</t>
  </si>
  <si>
    <t>Emergency Certificate</t>
  </si>
  <si>
    <t>Fingerprint Processing Fee</t>
  </si>
  <si>
    <t xml:space="preserve">Law Enforcement </t>
  </si>
  <si>
    <t xml:space="preserve">KEY SRATEGIES FOR 2017/18: </t>
  </si>
  <si>
    <t>Widened scope of crime management strategies (4.5.1)</t>
  </si>
  <si>
    <t>Increased human resource capability in crime fighting (4.5.2)</t>
  </si>
  <si>
    <t>Strengthened marine and land based interdiction (4.5.3)</t>
  </si>
  <si>
    <t>Strengthened framework for child safeguarding [2.4.5]</t>
  </si>
  <si>
    <t>Provisions in place to increase Montserrat’s participation in the regional and global sphere [4.4.1]</t>
  </si>
  <si>
    <t>Maintained standards of public order and safety [4.5.1]</t>
  </si>
  <si>
    <t>No of Serious crimes investigated</t>
  </si>
  <si>
    <t>No of Drug Offenses investigated</t>
  </si>
  <si>
    <t>No of crimes investigated (Total)</t>
  </si>
  <si>
    <t>No of Criminal Prosecutions</t>
  </si>
  <si>
    <t xml:space="preserve">No of Drug Prosecutions </t>
  </si>
  <si>
    <t>Number of Prosecutions (Total)</t>
  </si>
  <si>
    <t>No of Traffic accidents attended</t>
  </si>
  <si>
    <t>No of Maritime and Immigration Patrols</t>
  </si>
  <si>
    <t>% of crimes solved</t>
  </si>
  <si>
    <t xml:space="preserve">% increase of prosecutions that are successful </t>
  </si>
  <si>
    <t>No of crimes committed per 1000 population</t>
  </si>
  <si>
    <t>No of traffic accidents per 1000 population</t>
  </si>
  <si>
    <t>Quantity of drugs seized</t>
  </si>
  <si>
    <t>139 ½ lbs cocaine</t>
  </si>
  <si>
    <t>0 lbs of cocaine</t>
  </si>
  <si>
    <t>4.41lbs    marijuana</t>
  </si>
  <si>
    <t>262.9g marijuana
1450 trees uprooted</t>
  </si>
  <si>
    <t>PROGRAMME 052:  FINANCIAL CRIME AND ANALYSIS</t>
  </si>
  <si>
    <t>• To provide the highest level of security to Montserrat on matters of Money laundering and Terrorist Financing.
• To receive, analyse investigate and disseminate information relating to all SARs in accordance with the guidelines of the FATF recommendations.
• Establish the FIU as an independent and autonomous body</t>
  </si>
  <si>
    <t>Develop and implement strategies to build information sharing between agencies (4.3)</t>
  </si>
  <si>
    <t>Develop and implement a public education and awareness programme (4.3)</t>
  </si>
  <si>
    <t>Participate in the CFATF programmes including  Mutual Evaluation (4.2, 4.3)</t>
  </si>
  <si>
    <t>Conduct staff training (4.2)</t>
  </si>
  <si>
    <t>To be house in accommodations which are fit for purpose</t>
  </si>
  <si>
    <t>To achieve EGMONT Membership  (1.3, 4.3)</t>
  </si>
  <si>
    <t>Develop human capacity to meet the demands of the department (4.2, 4.3)</t>
  </si>
  <si>
    <t>Develop investigative capacity. (4.3)</t>
  </si>
  <si>
    <t>To resource the FCAU with appropriate database system, equipment, and furniture. (4.3)</t>
  </si>
  <si>
    <t>No of suspicious transaction reports (STR) investigated</t>
  </si>
  <si>
    <t> 4</t>
  </si>
  <si>
    <t> 23</t>
  </si>
  <si>
    <t> 14</t>
  </si>
  <si>
    <t>14 </t>
  </si>
  <si>
    <t>To be determined</t>
  </si>
  <si>
    <t>S U M M A R Y (by Classification)</t>
  </si>
  <si>
    <t>E05</t>
  </si>
  <si>
    <t>FIRE</t>
  </si>
  <si>
    <t>TOTAL P.E</t>
  </si>
  <si>
    <t>TOTAL WAGES</t>
  </si>
  <si>
    <t>ALLOWANCES</t>
  </si>
  <si>
    <t>TOTAL ALLOWANCES</t>
  </si>
  <si>
    <t>TOTAL BENEFITS</t>
  </si>
  <si>
    <t xml:space="preserve">TOTAL </t>
  </si>
  <si>
    <t>S U M M A R Y (by Subheads)</t>
  </si>
  <si>
    <t>TOTAL VOTE 05</t>
  </si>
  <si>
    <t>VOTE:  LEGAL – SUMMARY</t>
  </si>
  <si>
    <t>Legal Department - One million, seven hundred and thirty-nine thousand, one hundred dollars.</t>
  </si>
  <si>
    <t>Attorney General</t>
  </si>
  <si>
    <t>SUB-HEADS  which under this vote will be accounted for by the Attorney General</t>
  </si>
  <si>
    <t xml:space="preserve">An efficient, responsive and accountable system of governance and public service  </t>
  </si>
  <si>
    <t xml:space="preserve">Enhanced human development and improved quality of life of all people on Montserrat </t>
  </si>
  <si>
    <t xml:space="preserve">Transparent and effective accountability framework within Government and the Public Sector </t>
  </si>
  <si>
    <t xml:space="preserve">A modernized, efficient, responsive and accountable public service </t>
  </si>
  <si>
    <t>Montserrat fully integrated into the regional and global environment.</t>
  </si>
  <si>
    <t>Effective social protection</t>
  </si>
  <si>
    <t>To be the best local law office with appropriately trained, experienced, committed and motivated staff.</t>
  </si>
  <si>
    <t>To represent Government of Montserrat’s interest in civil matters while facilitating its legislative agenda, and to collaborate with the Government of Montserrat to provide and promote an accessible, fair and efficient system of justice.</t>
  </si>
  <si>
    <t>Administration of Justice</t>
  </si>
  <si>
    <t>TOTAL REVENUE VOTE 07</t>
  </si>
  <si>
    <t>TOTAL EXPENDITURE VOTE 07</t>
  </si>
  <si>
    <t>PROGRAMME 070:  ADMINISTRATION OF JUSTICE</t>
  </si>
  <si>
    <t>To provide effective legal representation, advice and support to the Government and the Public; and to prepare comprehensive and constitutionally sound primary and subordinate legislation</t>
  </si>
  <si>
    <t>TOTAL REVENUE VOTE XX</t>
  </si>
  <si>
    <t>Draft comprehensive, modern and constitutionally compliant laws, in a timely manner. (4.1)  (4.3)</t>
  </si>
  <si>
    <t>Represent the Government of Montserrat and its related agencies in all civil matters. (4.3)</t>
  </si>
  <si>
    <t>Provide timely legal advice and services to Ministries, Departments and related agencies to guide in the lawful exercise of their functions. (4.1)</t>
  </si>
  <si>
    <t>Train staff in Ministries, departments and related agencies in the lawful administration of their duties. (4.1)</t>
  </si>
  <si>
    <t>ADDITIONAL KEY STRATEGIES FOR 2017/18 AND 2018/19:</t>
  </si>
  <si>
    <t>% of Court orders complied with within the Court stipulated timeframes</t>
  </si>
  <si>
    <t>No. of training sessions conducted for public officers on the law and legal issues</t>
  </si>
  <si>
    <t>Average time within which legal documents and legal opinions are dispatched after receipt of complete instructions.</t>
  </si>
  <si>
    <t>5 weeks</t>
  </si>
  <si>
    <t>4 weeks</t>
  </si>
  <si>
    <t>% of cases successfully defended with no monetary awards being made against Government</t>
  </si>
  <si>
    <t>ADMINISTRATION OF JUSTICE</t>
  </si>
  <si>
    <t>TOTAL VOTE 07</t>
  </si>
  <si>
    <t>VOTE:  08 MAGISTRATE'S COURT SERVICES – SUMMARY</t>
  </si>
  <si>
    <t>Magistrate's Court - Three hundred and thirty-nine thousand, two hundred dollars</t>
  </si>
  <si>
    <t>Chief Magistrate</t>
  </si>
  <si>
    <t>SUB-HEADS  which under this vote will be accounted for by the Magistrates</t>
  </si>
  <si>
    <t>An Efficient, responsive and accountable system of governance and public service</t>
  </si>
  <si>
    <t>Strengthen the administration of the Justice System</t>
  </si>
  <si>
    <t>To become one of the leading centres of excellence in the provision of strong, trusted and independent court services.</t>
  </si>
  <si>
    <t>To provide the community with equal and impartial access to judicial services ensuring the preservation of the rule of law, judicial independence and the protection of individual rights.</t>
  </si>
  <si>
    <t>Magistrate's Court Services</t>
  </si>
  <si>
    <t>TOTAL REVENUE VOTE 08</t>
  </si>
  <si>
    <t>TOTAL EXPENDITURE VOTE 08</t>
  </si>
  <si>
    <t>PROGRAMME 080: MAGISTRATE'S COURT SERVICES</t>
  </si>
  <si>
    <t xml:space="preserve">The efficient dispensation of Justice in the hearing of Criminal, Quasi Criminal and Civil Matters summarily.
This Department is also concerned with the holding of:
 Coroner’s Inquests 
 Liquor License Court
 Labour Tribunals
 Juvenile court
</t>
  </si>
  <si>
    <t xml:space="preserve">Magistrate's Court                </t>
  </si>
  <si>
    <t>Improved data accessibility through Judicial Enforcement Management System (JEMS) (4.1)</t>
  </si>
  <si>
    <t>Capacity building of staff, members of Labour Tribunal and Juvenile Assessors (4.1)</t>
  </si>
  <si>
    <t>Undertake customer service surveys</t>
  </si>
  <si>
    <t>Launching of Magistrates Court Website (4.1)</t>
  </si>
  <si>
    <t>Reduce expenditure through identification of effriciences in operations</t>
  </si>
  <si>
    <t>No of  matters filed</t>
  </si>
  <si>
    <t>101*</t>
  </si>
  <si>
    <t>No of  matters disposed</t>
  </si>
  <si>
    <t>250*</t>
  </si>
  <si>
    <t xml:space="preserve">*Please note that the figures for 2015 only reflect as at the end of 31 July 2015.  </t>
  </si>
  <si>
    <t>TOTAL VOTE 08</t>
  </si>
  <si>
    <t>VOTE:  09 SUPREME COURT SERVICES – SUMMARY</t>
  </si>
  <si>
    <t>offices of the High Court and Registrar - Seven hundred and twelve thousand, nine hundred dollars.</t>
  </si>
  <si>
    <t>Registrar</t>
  </si>
  <si>
    <t>SUB-HEADS  which under this vote will be accounted for by the Registrar</t>
  </si>
  <si>
    <t>An efficient, responsive and accountable system of governance and public service</t>
  </si>
  <si>
    <t>Strengthen the administration of justice</t>
  </si>
  <si>
    <t>A department which embodies equity and reliability in the administration of Justice.</t>
  </si>
  <si>
    <t>To deliver high quality, professional, efficient and impartial services in facilitating the effective administration and dispensation of justice.</t>
  </si>
  <si>
    <t>TOTAL REVENUE VOTE 09</t>
  </si>
  <si>
    <t>TOTAL EXPENDITURE VOTE  09</t>
  </si>
  <si>
    <t>TOTAL EXPENDITURE VOTE 09</t>
  </si>
  <si>
    <t>PROGRAMME 090: SUPREME COURT SERVICES</t>
  </si>
  <si>
    <t>To provide an effective and efficient administration of justice.</t>
  </si>
  <si>
    <t xml:space="preserve">Certificate - Birth etc. </t>
  </si>
  <si>
    <t>Company Registration</t>
  </si>
  <si>
    <t xml:space="preserve">High Court                                </t>
  </si>
  <si>
    <t xml:space="preserve">Trade Marks and Patents  </t>
  </si>
  <si>
    <t>Other Receipts</t>
  </si>
  <si>
    <t>Professional and Consultancy Services</t>
  </si>
  <si>
    <t>Hosting and Entertainment</t>
  </si>
  <si>
    <t>To improve the provision of service to the public in the Births, Deaths &amp; Marriage Division as well as the registration of Probates, Deeds, Bonds and Bills of Sale Divisions in the High Court and achieve Public service reform in the Department and maintain Good Governance. (4.1)</t>
  </si>
  <si>
    <t>To strengthen and improve the Court Reporting Division in the High court  to foster Human development and achieve public service reform in the Department. (4.2)</t>
  </si>
  <si>
    <t>To develop and finalize key budget proposal for the digitization of civil records to improve efficiency and effectiveness in the provision of essential public services. In addition it remove obstacles to doing business in Montserrat and engage the diaspora in national development, and further strengthened accountability and public-engagement within the national governance framework. (1.3,1.6, 4.1, 4.2)</t>
  </si>
  <si>
    <t>To further improve administration of justice through proper planning and execution of court sittings.to attain transparency accountability and public engagement and foster and develop Montserrat ‘s reputation as a just safe and secure place to live and visit. (4.1, 4.3)</t>
  </si>
  <si>
    <t>Recruitment and Retention of staff to improve delivery of services provided by the Supreme Court Department and enhance human development within the department. (4.1)</t>
  </si>
  <si>
    <t>Number of certificates produced (births, deaths, marriage, probates, deeds, bonds, bill of sales</t>
  </si>
  <si>
    <t> 1534</t>
  </si>
  <si>
    <t>Number of cases considered and heard by the Supreme Court</t>
  </si>
  <si>
    <t> 95</t>
  </si>
  <si>
    <t>Produce customer service surveys to obtain feedback on satisfaction with services</t>
  </si>
  <si>
    <t> -</t>
  </si>
  <si>
    <t>-</t>
  </si>
  <si>
    <r>
      <t xml:space="preserve">Survey </t>
    </r>
    <r>
      <rPr>
        <sz val="8"/>
        <color rgb="FF000000"/>
        <rFont val="Arial Narrow"/>
        <family val="2"/>
      </rPr>
      <t>Produced</t>
    </r>
  </si>
  <si>
    <t>Certificates produced within 2 working days</t>
  </si>
  <si>
    <t> 80%</t>
  </si>
  <si>
    <t> 85%</t>
  </si>
  <si>
    <t>Levels of satisfaction until service</t>
  </si>
  <si>
    <t> 60%</t>
  </si>
  <si>
    <t> 65%</t>
  </si>
  <si>
    <t> 70%</t>
  </si>
  <si>
    <t>TOTAL VOTE 09</t>
  </si>
  <si>
    <t>VOTE:  LEGISLATURE – SUMMARY</t>
  </si>
  <si>
    <t>Legislative Assembly, Commissions Secretariat, the Office of the Auditor General and the Office of the Opposition -</t>
  </si>
  <si>
    <t>One million, four hundred seventy-three thousand four hundred dollars</t>
  </si>
  <si>
    <t>Director of Constitution and Commissions</t>
  </si>
  <si>
    <t>SUB-HEADS  which under this vote will be accounted for by the Director</t>
  </si>
  <si>
    <t>4.1 Strengthened  transparency, accountability and public engagement within the national Governance Framework</t>
  </si>
  <si>
    <t>A transparent and effective accountability framework for government and public sector</t>
  </si>
  <si>
    <t>To achieve excellence in facilitating and perpetuating the processes of good governance.</t>
  </si>
  <si>
    <t>MISSION</t>
  </si>
  <si>
    <t>To strengthen the process of good governance by providing effective advisory, administrative and audit services to the Parliamentarians, Committees of Parliament and the Constitutional Commissions.</t>
  </si>
  <si>
    <r>
      <t>100</t>
    </r>
    <r>
      <rPr>
        <sz val="8"/>
        <color theme="0"/>
        <rFont val="Arial"/>
        <family val="2"/>
      </rPr>
      <t>,</t>
    </r>
  </si>
  <si>
    <t>Strategic Management &amp; Administration</t>
  </si>
  <si>
    <r>
      <t>101</t>
    </r>
    <r>
      <rPr>
        <sz val="8"/>
        <color theme="0"/>
        <rFont val="Arial"/>
        <family val="2"/>
      </rPr>
      <t>,</t>
    </r>
  </si>
  <si>
    <t>Constitution Commission Secretariat</t>
  </si>
  <si>
    <r>
      <t>102</t>
    </r>
    <r>
      <rPr>
        <sz val="8"/>
        <color theme="0"/>
        <rFont val="Arial"/>
        <family val="2"/>
      </rPr>
      <t>,</t>
    </r>
  </si>
  <si>
    <t>Audit</t>
  </si>
  <si>
    <r>
      <t>103</t>
    </r>
    <r>
      <rPr>
        <sz val="8"/>
        <color theme="0"/>
        <rFont val="Arial"/>
        <family val="2"/>
      </rPr>
      <t>,</t>
    </r>
  </si>
  <si>
    <t>Office of the Opposition</t>
  </si>
  <si>
    <t>TOTAL REVENUE VOTE 10</t>
  </si>
  <si>
    <t>TOTAL EXPENDITURE VOTE 10</t>
  </si>
  <si>
    <t>PROGRAMME 100:  STRATEGIC MANAGEMENT &amp; ADMINISTRATION</t>
  </si>
  <si>
    <t xml:space="preserve">To provide excellent  services in a  professional environment, which will effectively support the functions of the Legislative Assembly </t>
  </si>
  <si>
    <t>Sale of Laws etc.</t>
  </si>
  <si>
    <t>Grants &amp; Contribution</t>
  </si>
  <si>
    <t xml:space="preserve">To educate the public on Parliamentary matters through radio programmes, the internet and school outreach programmes.   </t>
  </si>
  <si>
    <t>To improve public awareness of the Parliament through public exchanges such as debates and forums such as Community Mornings</t>
  </si>
  <si>
    <t xml:space="preserve">To engage a younger audience through social media and in so doing put easily accessible and accurate information about the Parliament, at their fingertips. </t>
  </si>
  <si>
    <t>To increase awareness, through discussion,   of the need for a nationally visible edifice which will serve as the centre of political life and assist in the promotion and practice of Good Governance in Montserrat</t>
  </si>
  <si>
    <t>To further develop a school outreach programme which would assist the next generation to have a better understanding of Parliament</t>
  </si>
  <si>
    <t xml:space="preserve">To produce a series of user-friendly publications on parliament that would increase public awareness and interest in Parliament. </t>
  </si>
  <si>
    <t>No of interactive meetings held with members of the public</t>
  </si>
  <si>
    <t>No of radio broadcast  programmes related  to the Legislative Assembly</t>
  </si>
  <si>
    <t xml:space="preserve">Types of  Social Media related outreach </t>
  </si>
  <si>
    <t> 0</t>
  </si>
  <si>
    <t> 3</t>
  </si>
  <si>
    <t>Estimated number of persons exposed to interactive meetings</t>
  </si>
  <si>
    <t>No of unique visitors to social media sites</t>
  </si>
  <si>
    <t>PROGRAMME 101:  CONSTITUTION COMMISSION SECRETARIAT</t>
  </si>
  <si>
    <t>To provide effective administrative support services for the Commissions authorized by the Montserrat Constitution Order 2010, as well as any other Commission assigned to the Constitution &amp; Commissions Secretariat</t>
  </si>
  <si>
    <t>To increase awareness of the Secretariat and the work of the Commissions by launching a website with relevant content such as what the Commissions do, criteria and procedure for seeking assistance where appropriate, guiding legislation and reports.</t>
  </si>
  <si>
    <t>To increase awareness among the junior population by producing educational materials for the Primary School aged children</t>
  </si>
  <si>
    <t>To increase awareness among Secondary and Montserrat Community College students by producing educational materials for their age group.</t>
  </si>
  <si>
    <t xml:space="preserve"> Actual 2013/14</t>
  </si>
  <si>
    <t xml:space="preserve"> Estimate 2014/15</t>
  </si>
  <si>
    <t xml:space="preserve"> Target 2015/16</t>
  </si>
  <si>
    <t xml:space="preserve"> Target 2016/17</t>
  </si>
  <si>
    <t xml:space="preserve"> Target 2017/18</t>
  </si>
  <si>
    <t>Topics covered in educational material</t>
  </si>
  <si>
    <t>Topics covered on website</t>
  </si>
  <si>
    <t> 2</t>
  </si>
  <si>
    <t>Estimated number of students reached.</t>
  </si>
  <si>
    <t>No. of unique visitors to web site</t>
  </si>
  <si>
    <t>PROGRAMME 102: AUDIT</t>
  </si>
  <si>
    <t>To deliver high quality independent external audit services that fulfil the statutory requirements for examination of the Public Accounts and production of the annual audit report</t>
  </si>
  <si>
    <t>Audit Fees</t>
  </si>
  <si>
    <t xml:space="preserve">Utilities </t>
  </si>
  <si>
    <t xml:space="preserve">Rental of Assets </t>
  </si>
  <si>
    <t>To work with PAC and other stakeholders to secure independence of the Audit Office</t>
  </si>
  <si>
    <t>Strengthening the accountability, transparency and delivery of public service by improving the quality and quantum of audit services</t>
  </si>
  <si>
    <t xml:space="preserve">To monitor implementation of recommendations and prepare required documents to facilitate follow up and eliminate systemic problems </t>
  </si>
  <si>
    <t>Establishing the MNAO to ensure an independent audit office that facilitates accountability and transparency.</t>
  </si>
  <si>
    <t>Delivering value to citizens through improved recommendations to Accounting Officers; improvement in staff capability and skills; and development of policies, procedures and guidelines that facilitate quality work and meet international audit standards/guidelines.</t>
  </si>
  <si>
    <t>In 2018/19 conducting peer review to assess compliance with international audit standards and overall effectiveness of our operations.</t>
  </si>
  <si>
    <t>Contributions submitted to Attorney General’s Office to facilitate revision of Audit Act.</t>
  </si>
  <si>
    <t>80% of requests for contributions responded to within 1 month.</t>
  </si>
  <si>
    <t xml:space="preserve">     </t>
  </si>
  <si>
    <t>No. of financial, regulatory and compliance audits conducted.</t>
  </si>
  <si>
    <t xml:space="preserve">13 statements in public accounts, one statement covering 42 sub- departments 
12 Statutory/ private entities
8 Complianc
</t>
  </si>
  <si>
    <t xml:space="preserve">14 statements in public accounts, one statement covering 42 sub- departments 
12 Statutory/ private entities
8 Complianc
</t>
  </si>
  <si>
    <t xml:space="preserve">15 statements in public accounts, one statement covering 42 sub- departments 
12 Statutory/ private entities
8 Complianc
</t>
  </si>
  <si>
    <t xml:space="preserve">16 statements in public accounts, one statement covering 42 sub- departments 
12 Statutory/ private entities
8 Complianc
</t>
  </si>
  <si>
    <t>No. of performance, IT and special audits conducted</t>
  </si>
  <si>
    <t xml:space="preserve">4 Performance
4 IT
</t>
  </si>
  <si>
    <t xml:space="preserve">5 Performance
4 IT
</t>
  </si>
  <si>
    <t>No. of significant recommended actions</t>
  </si>
  <si>
    <t>Passage of the Audit Act</t>
  </si>
  <si>
    <r>
      <t>End 2</t>
    </r>
    <r>
      <rPr>
        <vertAlign val="superscript"/>
        <sz val="9"/>
        <color rgb="FF000000"/>
        <rFont val="Arial Narrow"/>
        <family val="2"/>
      </rPr>
      <t>nd</t>
    </r>
    <r>
      <rPr>
        <sz val="9"/>
        <color rgb="FF000000"/>
        <rFont val="Arial Narrow"/>
        <family val="2"/>
      </rPr>
      <t xml:space="preserve"> quarter</t>
    </r>
  </si>
  <si>
    <t>% of government institutions/entities directly audited by OAG whose financial statements are audited</t>
  </si>
  <si>
    <t> 50%</t>
  </si>
  <si>
    <t>% of recommended actions successfully implemented/complete</t>
  </si>
  <si>
    <t>60% </t>
  </si>
  <si>
    <t>75% </t>
  </si>
  <si>
    <t> 75%</t>
  </si>
  <si>
    <t>PROGRAMME 103: OFFICE OF THE OPPOSITION</t>
  </si>
  <si>
    <t>To represent the people by publicly expressing and defending alternative viewpoints on issues, matters of public national interest, important initiatives, policy and legislation that would affect them, and in general giving voice to their concerns.</t>
  </si>
  <si>
    <t>Travel Allowance</t>
  </si>
  <si>
    <t>Furniture Equipment and Resources</t>
  </si>
  <si>
    <t>Rental Of Assets</t>
  </si>
  <si>
    <t>To increase public awareness of issues and matters of national interest by providing information on internet sites, and the radio</t>
  </si>
  <si>
    <t>To harness the views of the public by providing greater access through community activities, as well as, published information about the Office of the Opposition indicating how and when they can lodge concerns so that they could be better represented.</t>
  </si>
  <si>
    <t>No of radio programmes undertaken</t>
  </si>
  <si>
    <t>No of issues or other matters addressed on website</t>
  </si>
  <si>
    <t>No of  community activities  undertaken</t>
  </si>
  <si>
    <t>Estimated # of persons  exposed to radio programmes</t>
  </si>
  <si>
    <t>No. of unique visitors to internet sites</t>
  </si>
  <si>
    <t>Estimated no of persons exposed to community activities</t>
  </si>
  <si>
    <t>TOTAL VOTE 10</t>
  </si>
  <si>
    <t>VOTE:  AUDIT OFFICE – SUMMARY</t>
  </si>
  <si>
    <t xml:space="preserve">ESTIMATES of Revenue and Expenditure for the period 1st April 2016  to 31st March, 2019 for salaries and the expenses of </t>
  </si>
  <si>
    <t>the Office of the Auditor General -</t>
  </si>
  <si>
    <t>One million, two hundred and fifty-eight thousand dollars</t>
  </si>
  <si>
    <t>Auditor General</t>
  </si>
  <si>
    <t>SUB-HEADS  which under this vote will be accounted for by the Auditor General</t>
  </si>
  <si>
    <t>To strengthen the process of good governance by providing effective advisory and audit services to the Parliamentarians and Committees of Parliament.</t>
  </si>
  <si>
    <r>
      <t>110</t>
    </r>
    <r>
      <rPr>
        <sz val="8"/>
        <color theme="0"/>
        <rFont val="Arial"/>
        <family val="2"/>
      </rPr>
      <t>,</t>
    </r>
  </si>
  <si>
    <t>VOTE:  OFFICE OF THE DEPUTY GOVERNOR – SUMMARY</t>
  </si>
  <si>
    <t>Governor's Office, Office of the Deputy Governor  (including pensions), Human Resources, the Prison and Defence Force</t>
  </si>
  <si>
    <t>Thirty-three million, eight hundred sixty-eight thousand seven hundred dollars</t>
  </si>
  <si>
    <t>Chief Human Resources Officer</t>
  </si>
  <si>
    <t>SUB-HEADS  which under this vote will be accounted for by the Chief Human Resources Officer</t>
  </si>
  <si>
    <t>To strengthen Good Governance across the Public Service at both the policy (strategic) and implementation (operational) level through corporate leadership and high performance</t>
  </si>
  <si>
    <t>To ensure fiscal discipline and accountability through the appropriate monitoring of Public Policy, Planning, Budget Preparation and Performance</t>
  </si>
  <si>
    <t>To protect the public and reduce re-offending through the effective execution of court sentences, detention, rehabilitation and parole</t>
  </si>
  <si>
    <t>To coordinate and facilitate a multi-agency approach which integrates Disaster Management policy and practice into the mainstream of community activities through Hazard &amp; Risk Assessments; Education &amp; Awareness; Mitigation; Preparedness for  Emergency Response, Recovery and Reconstruction; Prediction &amp; Warning; Strategies for “Lessons Learnt” from Disasters; and Regional &amp; International Cooperation</t>
  </si>
  <si>
    <t>To safeguard National Security and Public Interests against the risks of Disasters; Nationality and Identity Fraud; Emergencies; and unsustainable Government Liability</t>
  </si>
  <si>
    <t>The achievement of National Outcomes as outlined by the Sustainable Development Plan (SDP) will be determined by the ability of Government to prioritise resources and focus public spending on work that will deliver the greatest impact across the system.  ODG plays a crucial role in enabling the Deputy Governor to provide the necessary oversight and supervision of the entire Public Service.  In that way, ODG contributes to all national outcomes but is directly responsible for the following:</t>
  </si>
  <si>
    <t xml:space="preserve">A transparent and effective Accountability Framework within Government and the Public Sector </t>
  </si>
  <si>
    <t xml:space="preserve">A modernized, efficient, responsive and accountable Public Service </t>
  </si>
  <si>
    <t>Effective disaster mitigation, response and recovery at the national and community levels and adaptation to climate change</t>
  </si>
  <si>
    <t xml:space="preserve">A well developed and effective education and training system that produces well-rounded and qualified life-long learners </t>
  </si>
  <si>
    <t>A stable and viable population, appropriate for the development needs of the island</t>
  </si>
  <si>
    <t>Effective crime and delinquency management</t>
  </si>
  <si>
    <t>Graduation from budget support from the British Government</t>
  </si>
  <si>
    <t>The Montserrat Public Service recognised as an Employer of Choice and Competent Provider of Responsive, Results-oriented Public Services, Policies and Procedures that are consistent with standards of excellence and values of good governance, fiscal discipline, transparency, accountability, integrity and respect.</t>
  </si>
  <si>
    <t>To provide an enabling environment in which the Deputy Governor is empowered to fulfil the constitutional mandate to assist the Governor in the exercise of good governance as it relates to the management and reform of the Montserrat Public Service; the protection of National Security Interests in Disaster Management, Defence, Ceremonial Duties and Consular Affairs; and the preservation of Public Safety through the Prison and Parole system.</t>
  </si>
  <si>
    <r>
      <t>120</t>
    </r>
    <r>
      <rPr>
        <sz val="8"/>
        <color theme="0"/>
        <rFont val="Arial"/>
        <family val="2"/>
      </rPr>
      <t>,</t>
    </r>
  </si>
  <si>
    <t>Office of the Deputy Governor</t>
  </si>
  <si>
    <r>
      <t>121</t>
    </r>
    <r>
      <rPr>
        <sz val="8"/>
        <color theme="0"/>
        <rFont val="Arial"/>
        <family val="2"/>
      </rPr>
      <t>,</t>
    </r>
  </si>
  <si>
    <t>Human Resouces</t>
  </si>
  <si>
    <r>
      <t>122</t>
    </r>
    <r>
      <rPr>
        <sz val="8"/>
        <color theme="0"/>
        <rFont val="Arial"/>
        <family val="2"/>
      </rPr>
      <t>,</t>
    </r>
  </si>
  <si>
    <t>Her Majesty's Prison</t>
  </si>
  <si>
    <r>
      <t>123</t>
    </r>
    <r>
      <rPr>
        <sz val="8"/>
        <color theme="0"/>
        <rFont val="Arial"/>
        <family val="2"/>
      </rPr>
      <t>,</t>
    </r>
  </si>
  <si>
    <t>Defence Force</t>
  </si>
  <si>
    <r>
      <t>124</t>
    </r>
    <r>
      <rPr>
        <sz val="8"/>
        <color theme="0"/>
        <rFont val="Arial"/>
        <family val="2"/>
      </rPr>
      <t>,</t>
    </r>
  </si>
  <si>
    <t>Disaster Management Coordination Agency</t>
  </si>
  <si>
    <r>
      <t>125</t>
    </r>
    <r>
      <rPr>
        <sz val="8"/>
        <color theme="0"/>
        <rFont val="Arial"/>
        <family val="2"/>
      </rPr>
      <t>,</t>
    </r>
  </si>
  <si>
    <t>Governor</t>
  </si>
  <si>
    <t>TOTAL REVENUE VOTE 12</t>
  </si>
  <si>
    <t>TOTAL EXPENDITURE VOTE 12</t>
  </si>
  <si>
    <t>PROGRAMME 120:  OFFICE OF THE DEPUTY GOVERNOR</t>
  </si>
  <si>
    <t>To provide an enabling environment (administrative and technical support) that allows the Deputy Governor to successfully perform his constitutional duties vis-à-vis the management and reform of the Montserrat Public Service; the protection of National Security Interests in Disaster Management, Defence, Ceremonial Duties and Consular Affairs; and the preservation of Public Safety.</t>
  </si>
  <si>
    <t>Naturalzation Fees</t>
  </si>
  <si>
    <t>1210001A</t>
  </si>
  <si>
    <t>DFID</t>
  </si>
  <si>
    <t>PSR2/3</t>
  </si>
  <si>
    <t>1211002A</t>
  </si>
  <si>
    <t>Capacity Development Fund</t>
  </si>
  <si>
    <t>1212004A</t>
  </si>
  <si>
    <t>Disaster Prepardness Repairs</t>
  </si>
  <si>
    <t>Implement recommendations of the functional review conducted in FY2015/16 which will ensure that ODG Corporate is well resourced and well managed to contribute to effective and efficient service delivery (PAO 4)</t>
  </si>
  <si>
    <t>Promote efficiency and reform across the Public Service (system-wide and agency-specific) through the continued implementation of the Public Service Reform (PSR) programme  (PAO 4)</t>
  </si>
  <si>
    <t>Strengthen Policy and implement legislation for the administration and management of the Public Service (PSR) (PAO 4)</t>
  </si>
  <si>
    <t>Create a safe, exciting, innovative and enabling physical working environment through the design of a comprehensive Buildings and Asset Management Strategy (PAO 3.3, 4)</t>
  </si>
  <si>
    <t>Build a ‘Whole of Government’ Accountability Framework that delivers a Public Service that is non-partisan, results driven, policy based, fiscally fit and transparent (PSR) (PAO 4)</t>
  </si>
  <si>
    <t>Design, develop and implement key consular services to safeguard National Security and Public Interests against the risks of Nationality and Identity Fraud and unsustainable Government Liability. (PAO 1.6, 4, 5.2)</t>
  </si>
  <si>
    <t>Develop a Pension Policy &amp; Strategy that ensures public servants have adequate pension provision to safeguard against unsustainable government liability (PAO 2.5, 4)</t>
  </si>
  <si>
    <t>Improve focus on core service delivery and private sector development by outsourcing non-core services and supporting the development of the entity to effectively deliver those services (PAO 1.3, 1.5)</t>
  </si>
  <si>
    <t>Implement the new Emergency Passport system and continue to embed the New full-validity, electronic BOTC passport system  (PAO 1.3, 1.6)</t>
  </si>
  <si>
    <t>Continue to embed new legislation, systems, policies and procedures</t>
  </si>
  <si>
    <t>Develop consular services overseas</t>
  </si>
  <si>
    <t>No. of recommendations implemented from Functional Review</t>
  </si>
  <si>
    <t>TBD</t>
  </si>
  <si>
    <t>No. of Policies, Strategies and Legislations developed</t>
  </si>
  <si>
    <t>No. of Public Awareness Consular activities delivered</t>
  </si>
  <si>
    <t>Contract with Montserrat Cleaning Coop signed</t>
  </si>
  <si>
    <t>Accountability Framework developed</t>
  </si>
  <si>
    <t>No. of Residence &amp; Nationality Applications received</t>
  </si>
  <si>
    <t>Routine Maintenance Schedules implemented</t>
  </si>
  <si>
    <t> 100%</t>
  </si>
  <si>
    <t>Backlog building maintenance eliminated</t>
  </si>
  <si>
    <t>·        </t>
  </si>
  <si>
    <t>ODG established as corporate office</t>
  </si>
  <si>
    <t>Applicants and the Public more knowledgeable and satisfied with Consular Affairs</t>
  </si>
  <si>
    <t>System-wide and agency specific issues addressed</t>
  </si>
  <si>
    <t>Cleaning Contract managed effectively</t>
  </si>
  <si>
    <t>Pension Benefits paid  on time</t>
  </si>
  <si>
    <t>Residence &amp; Nationality Applications processed within 6 months</t>
  </si>
  <si>
    <t>Policies, Strategies and Legislations implemented</t>
  </si>
  <si>
    <t>PROGRAMME 121: HUMAN RESOURCES</t>
  </si>
  <si>
    <t>To  recruit, retain and reward an elite cadre if professional, high-perfroming public officers with the competencies to drive the Government's policy and legislative agenda</t>
  </si>
  <si>
    <t>Improve the perfromance of the HRMU to deliver on its core functions, address issues of employee engagement and meet future needs of the Public Service (PAO 4.1 ; 4.2)</t>
  </si>
  <si>
    <t>Review/update/revise the policy framework to deliver improved HR services through the implementation of the following key strategies: recruitment; retention and reward; grievance and disciplinary; sick leave; succession planning; probation (PAO 4.1; 4.2)</t>
  </si>
  <si>
    <t>Create a culture of continuous learning and development by providing targeted training support and scholarship awards to ensure that the Public Service has a cadre of professional. high-perfroming public officers with the skills and competencies to drive the Government's policy and legislative agenda (PAO4.1;  4.2)</t>
  </si>
  <si>
    <t>Implement the Public Administration Regualtions through the development of an HR Manual of Procedures to improve transparenc, fairness  and accountability (PAO 4.1)</t>
  </si>
  <si>
    <t>Maintain an accurate and user-friendly HRIS to improve data management and support the development of evidence-based HR policies and strategies (PAO 4.2)</t>
  </si>
  <si>
    <t>Improve the performance of the HRMU to deliver on its core functions, address issues of employee engagement and meet future needs of the Public Service PAO 4.1 ; 4.2);</t>
  </si>
  <si>
    <t>Improve employee and customer satisfaction through the implementation of an equitable reward and recognition system (PAO 4.2)</t>
  </si>
  <si>
    <t>Validate customer expectations through the review and development of service standards (PAO 4.2)</t>
  </si>
  <si>
    <t>Average turnaround time for external recruitments</t>
  </si>
  <si>
    <t> 140 days</t>
  </si>
  <si>
    <t> 120 days</t>
  </si>
  <si>
    <t> 90 days</t>
  </si>
  <si>
    <t>Number of local in-service training sessions held</t>
  </si>
  <si>
    <t> 6</t>
  </si>
  <si>
    <t> 8</t>
  </si>
  <si>
    <t>Number of scholarships awarded</t>
  </si>
  <si>
    <t> 10</t>
  </si>
  <si>
    <t>Number of policies reviewed and updated annually</t>
  </si>
  <si>
    <t>Fit for purpose, functional and user-friendly HRIS in place</t>
  </si>
  <si>
    <t>Succession Planning: Time taken to fill key positions via Internal Transfers or promotions</t>
  </si>
  <si>
    <t>30 days</t>
  </si>
  <si>
    <t>Number of new recruits per annum</t>
  </si>
  <si>
    <t>Proportion (%) of recruitments completed within the 90-day turnaround time</t>
  </si>
  <si>
    <t> 90%</t>
  </si>
  <si>
    <t>Number of scholarship recipients gainfully employed on Montserrat after completing studies</t>
  </si>
  <si>
    <t>% of  HRIS system operational</t>
  </si>
  <si>
    <t> 10%</t>
  </si>
  <si>
    <t>% of new recruits meeting the job-specified competencies</t>
  </si>
  <si>
    <t>PROGRAMME 122: HER MAJESTY'S PRISON</t>
  </si>
  <si>
    <t>To provide a safe and secure custody of Prison inmates and supporting their rehabilitation and successful integration into society</t>
  </si>
  <si>
    <t>Reduce the repeat offenders by developing and implementing a comprehensive sentence plan (4.3)</t>
  </si>
  <si>
    <t>Develop a comprehensive behavior modification programme to assist/accommodate the rehabilitation of inmates (4.3)</t>
  </si>
  <si>
    <t>Improve the physical infrastrusture of Her Majesty's Prison to enhamce and maintain safe and secure custody (4.3)</t>
  </si>
  <si>
    <t>Recruit and equip staff to deliver high quality custodial services (4.3)</t>
  </si>
  <si>
    <t>No of inmates</t>
  </si>
  <si>
    <t>No.of repeat offenders</t>
  </si>
  <si>
    <t>No.of hours per week dedicated to planned rehabilitation programs</t>
  </si>
  <si>
    <t>40 hours</t>
  </si>
  <si>
    <t>No. of inmates participating in work development programmes</t>
  </si>
  <si>
    <t>% of inmates participating in rehabilitation and/or development programmes</t>
  </si>
  <si>
    <t> 47%</t>
  </si>
  <si>
    <t>Average number of days of rehabilitation or development training provided per prisoner</t>
  </si>
  <si>
    <t>6hrs</t>
  </si>
  <si>
    <t>8hrs</t>
  </si>
  <si>
    <t>No. of escapes</t>
  </si>
  <si>
    <t>Rate of recidivism</t>
  </si>
  <si>
    <t>PROGRAMME 123: DEFENCE FORCE</t>
  </si>
  <si>
    <t>To provide a well trained volunteer Defence Force, that is robust mentally and physically and able to undertake, at short notice, tasks required of it in civil aid, humanitarian/emergency respopnse support operations, public ceremonial duties, and dismounted close combat.</t>
  </si>
  <si>
    <t>Charges and Fines</t>
  </si>
  <si>
    <t>General Reciepts</t>
  </si>
  <si>
    <t>Sundry</t>
  </si>
  <si>
    <t>Re-establish a 2 platoon structure to be able to provide a more robust response in disaster and security situations in order to make Montserrat a more secure island (3.2; 4.3)*</t>
  </si>
  <si>
    <t>Restart the RMDF National Marching Band to provide an avenue for giving expression to the musical talent of youths and  to help instil feelings of national pride in the community (2.8; 2.9)*</t>
  </si>
  <si>
    <t>Continue Humanitarian Aid and Disaster Relief (HADR) focused training in order to strengthen GOMs preparedness and emergency response capability (3.2)</t>
  </si>
  <si>
    <t>Continue the support the Montserrat Cadet Corps as a mechanism through which young adults can be mentored with values and other useful life skills (2.8; 2.9).</t>
  </si>
  <si>
    <t>Train members for security operations in order to ensure Montserrat remains a safe and secure place to live and visit (4.3)*</t>
  </si>
  <si>
    <t>Re-establish links with the Irish Guards and Bermuda Regiment in order to benefit from advanced training opportunities (3.2; 4.3)</t>
  </si>
  <si>
    <t>Conclude Montserrat’s bid to accede to the Regional Security System in order to access training and benefit from joint security operation (RMPS will also benefit) (3.2; 4.3)*</t>
  </si>
  <si>
    <t xml:space="preserve">Establish permanent home in order to safe guard the assets of the Force while doubling as a community centre and temporary safe house (2.8; 2.9; 3.2; 4.3)* </t>
  </si>
  <si>
    <t>Min 15 days collective training to ensure forces readiness for deployment</t>
  </si>
  <si>
    <t>No of days provision of Aid to the Civil Community/Authority</t>
  </si>
  <si>
    <t>No. of ceremonial events attended</t>
  </si>
  <si>
    <t>Achieve a level of training that maintains core skills and professional standards for HADR and Security Ops (percentage)</t>
  </si>
  <si>
    <t>% RMDF review recommendation implemented</t>
  </si>
  <si>
    <t>PROGRAMME 124: DISASTER MANAGEMENT COORDINATION AGENCY</t>
  </si>
  <si>
    <t>To lessen the impact of hazards/disasters by adopting a multi-agency apprach in coordinating government's management of hazards and response to disaster</t>
  </si>
  <si>
    <t>135</t>
  </si>
  <si>
    <t>Rents, Interest, Dividends</t>
  </si>
  <si>
    <t>Improve the capacity of the DMCA to lead the coordination of disaster management core functions and strategies through enhancing a multi-agency approach which integrates Disaster Management policy and practice into the mainstream of community activities.</t>
  </si>
  <si>
    <t>Enhance early warning system to deliver timely alerts to the general public thereby improving preparedness and mitigation</t>
  </si>
  <si>
    <t>Coordinate and facilitate community hazard and vulnerability assessments and update hazard maps to enhance efforts to mitigate disasters (3.2)</t>
  </si>
  <si>
    <t>Improve operational capacity for main (first) responders to better support lives and livelihoods in the response phase (3.2)</t>
  </si>
  <si>
    <t>Improve the conditions of emergency shelters to ensure they are more accessible to the vulnerable and resilient in disasters (3.3)</t>
  </si>
  <si>
    <t>Implement the findings of the functional review of the Disaster Management Agency to enhance its capacity to deliver on its mandate</t>
  </si>
  <si>
    <t>Improve capacity to monitor shelters, alerting systems, generator plants (silver Hills) by replacing the current vehicle which is at the end of its useful life. (3.3)</t>
  </si>
  <si>
    <t>No of NDPRAC Meetings organised</t>
  </si>
  <si>
    <t>No. of components in the alerting system in ready and functional use</t>
  </si>
  <si>
    <t>3 of 4</t>
  </si>
  <si>
    <t>Up time for alerting system</t>
  </si>
  <si>
    <t>Failure rate and down time for the components of the alerting system</t>
  </si>
  <si>
    <t> ≥5%</t>
  </si>
  <si>
    <t>  0</t>
  </si>
  <si>
    <t>No. of NDPRAC actions completed on time</t>
  </si>
  <si>
    <t>% of staff trained in disaster management related disciplines</t>
  </si>
  <si>
    <t xml:space="preserve">2 of 7 </t>
  </si>
  <si>
    <t>% of district personnel  receiving emergency preparedness and response training</t>
  </si>
  <si>
    <t>Average response time to faults</t>
  </si>
  <si>
    <t>3 hours</t>
  </si>
  <si>
    <t>PROGRAMME 125: GOVERNOR</t>
  </si>
  <si>
    <t>Assist in the provision of administrative support and hospitality services to Her Excellency to enable her to carry out her responsibilities as Head of Territory</t>
  </si>
  <si>
    <t>Uniform and Protective clothing</t>
  </si>
  <si>
    <t>To provide administrative and programmatic support to the Governor’s Office</t>
  </si>
  <si>
    <t>To maintain  and upkeep the Governor's residence</t>
  </si>
  <si>
    <t>To provide friendly &amp; warm reception at  the Governor's Residence</t>
  </si>
  <si>
    <t>Support staff provided</t>
  </si>
  <si>
    <t>Staffing Levels</t>
  </si>
  <si>
    <t>E12</t>
  </si>
  <si>
    <t>OFFICE OF THE DEPUTY GOVERNOR</t>
  </si>
  <si>
    <t>HER MAJESTY'S PRISON</t>
  </si>
  <si>
    <t>DISASTER MANAGEMENT COORDINATION AGENCY</t>
  </si>
  <si>
    <t>TOTAL VOTE 12</t>
  </si>
  <si>
    <t>VOTE:  13 PUBLIC PROSECUTION – SUMMARY</t>
  </si>
  <si>
    <t>Office of the Director of Public Prosecution - Six hundred and forty-nine thousand, two hundred dollars.</t>
  </si>
  <si>
    <t>Director of Public Prosecution</t>
  </si>
  <si>
    <t>SUB-HEADS  which under this vote will be accounted for by the Director of Public Prosecution</t>
  </si>
  <si>
    <t>Enhanced human development and improved quality of life for all people on Montserrat</t>
  </si>
  <si>
    <t>A transparent and effective accountability framework within Government and the Public Sector</t>
  </si>
  <si>
    <t>A modernised, efficient, responsive and accountable public service</t>
  </si>
  <si>
    <t>A legal service which engenders a just and law abiding society through representing the State in accordance with the laws of Montserrat.</t>
  </si>
  <si>
    <t>To provide the highest quality legal advice and representation to all law enforcement agencies and to liaise with other stakeholders to implement appropriate law enforcement strategies.</t>
  </si>
  <si>
    <r>
      <t>130</t>
    </r>
    <r>
      <rPr>
        <sz val="8"/>
        <color theme="0"/>
        <rFont val="Arial"/>
        <family val="2"/>
      </rPr>
      <t>`</t>
    </r>
  </si>
  <si>
    <t>PUBLIC PROSECUTION</t>
  </si>
  <si>
    <t>TOTAL REVENUE VOTE 13</t>
  </si>
  <si>
    <t>TOTAL EXPENDITURE VOTE 13</t>
  </si>
  <si>
    <t>Project 1</t>
  </si>
  <si>
    <t>EU etc</t>
  </si>
  <si>
    <t>Project 2</t>
  </si>
  <si>
    <t>Project 3</t>
  </si>
  <si>
    <t>Project 4</t>
  </si>
  <si>
    <t>Project 5</t>
  </si>
  <si>
    <t>Project 6 etc</t>
  </si>
  <si>
    <t>PROGRAMME 130: PUBLIC PROSECUTION</t>
  </si>
  <si>
    <t>Provide efficient, timely and equitable Prosecution</t>
  </si>
  <si>
    <t>2012/13 Actual Exp</t>
  </si>
  <si>
    <t xml:space="preserve"> 2013/14 Approved Budget</t>
  </si>
  <si>
    <t>2013/14 Revised Estimate</t>
  </si>
  <si>
    <t xml:space="preserve">2014/15 Budget Estimates </t>
  </si>
  <si>
    <t xml:space="preserve">2015/16 Forward Estimates </t>
  </si>
  <si>
    <t xml:space="preserve">2016/17 Forward Estimates </t>
  </si>
  <si>
    <t>Provide timely and high quality legal advice and representation to the law enforcement agencies (4.1, 4.3)</t>
  </si>
  <si>
    <t>Provide training to relevant law enforcement agencies on the laws an investigative measures (4.3)</t>
  </si>
  <si>
    <t>No of Preliminary Inquiries completed</t>
  </si>
  <si>
    <t> 31</t>
  </si>
  <si>
    <t> 45</t>
  </si>
  <si>
    <t> 50</t>
  </si>
  <si>
    <t>No of prosecutions initiated</t>
  </si>
  <si>
    <t> 247</t>
  </si>
  <si>
    <t> 275</t>
  </si>
  <si>
    <t> 290</t>
  </si>
  <si>
    <t>No of trials completed</t>
  </si>
  <si>
    <t> 118</t>
  </si>
  <si>
    <t>% of prosecutions successful</t>
  </si>
  <si>
    <t>% of trials completed within the date of filing  and or Assizes.</t>
  </si>
  <si>
    <t>No. of prosecutions awaiting trial</t>
  </si>
  <si>
    <t>No of advice provided within timeframe</t>
  </si>
  <si>
    <t>14 days</t>
  </si>
  <si>
    <t> 14 days</t>
  </si>
  <si>
    <t> 14days</t>
  </si>
  <si>
    <t>TOTAL VOTE 13</t>
  </si>
  <si>
    <t>VOTE:  15 OFFICE OF THE PREMIER – SUMMARY</t>
  </si>
  <si>
    <t>Office of the Premier - Sixteen million, four hundred and fifty-six thousand, nine hundred dollars</t>
  </si>
  <si>
    <t>Permanent Secretary</t>
  </si>
  <si>
    <t>SUB-HEADS  which under this vote will be accounted for by the Permanent Secretary</t>
  </si>
  <si>
    <t>An environment that fosters prudent economic management, sustained growth, a diversified economy and the generation of employment opportunities</t>
  </si>
  <si>
    <t xml:space="preserve">Enhanced human development and improved quality of life for all people on Montserrat  </t>
  </si>
  <si>
    <t>Natural and heritage resources conserved though environmentally sustainable development and appropriate strategies for disaster mitigation</t>
  </si>
  <si>
    <t>A vibrant and diverse economy that supports sustainable private sector led economic activity and generates employment</t>
  </si>
  <si>
    <t>Achieve social integration, well-being and national identity</t>
  </si>
  <si>
    <t xml:space="preserve">Heritage sites and artefacts identified, maintained and protected </t>
  </si>
  <si>
    <t>Being the centre of excellence for internal and external policy solutions for Montserrat.</t>
  </si>
  <si>
    <t>To provide strategic management and policy leadership for the development of Montserrat.</t>
  </si>
  <si>
    <r>
      <t>150</t>
    </r>
    <r>
      <rPr>
        <sz val="8"/>
        <color theme="0"/>
        <rFont val="Arial"/>
        <family val="2"/>
      </rPr>
      <t>,</t>
    </r>
  </si>
  <si>
    <r>
      <t>152</t>
    </r>
    <r>
      <rPr>
        <sz val="8"/>
        <color theme="0"/>
        <rFont val="Arial"/>
        <family val="2"/>
      </rPr>
      <t>,</t>
    </r>
  </si>
  <si>
    <t xml:space="preserve">Broadcasting </t>
  </si>
  <si>
    <r>
      <t>153</t>
    </r>
    <r>
      <rPr>
        <sz val="8"/>
        <color theme="0"/>
        <rFont val="Arial"/>
        <family val="2"/>
      </rPr>
      <t>,</t>
    </r>
  </si>
  <si>
    <t>External Affairs &amp; Trade</t>
  </si>
  <si>
    <r>
      <t>154</t>
    </r>
    <r>
      <rPr>
        <sz val="8"/>
        <color theme="0"/>
        <rFont val="Arial"/>
        <family val="2"/>
      </rPr>
      <t>,</t>
    </r>
  </si>
  <si>
    <t>Development Planning &amp; Policy Coordination</t>
  </si>
  <si>
    <r>
      <t>155</t>
    </r>
    <r>
      <rPr>
        <sz val="8"/>
        <color theme="0"/>
        <rFont val="Arial"/>
        <family val="2"/>
      </rPr>
      <t>,</t>
    </r>
  </si>
  <si>
    <t>Information Technology &amp; E-Government Services</t>
  </si>
  <si>
    <t>TOTAL REVENUE VOTE 15</t>
  </si>
  <si>
    <t>TOTAL EXPENDITURE VOTE 15</t>
  </si>
  <si>
    <t>PROGRAMME 150: STRATEGIC MANAGEMENT &amp; ADMINISTRATION</t>
  </si>
  <si>
    <t>To provide at the Ministerial level a full range of administrative resources and management support services to all departments of the Ministry to enable then to effectively carry out their function and thus attain the Ministry and national objectives.</t>
  </si>
  <si>
    <t xml:space="preserve">Trade Licenses                   </t>
  </si>
  <si>
    <t>Grants and Contributions</t>
  </si>
  <si>
    <t>1514032A</t>
  </si>
  <si>
    <t>GOM</t>
  </si>
  <si>
    <t>Media Exchange Develoment</t>
  </si>
  <si>
    <t>3000031A</t>
  </si>
  <si>
    <t>Cemetary Establishment</t>
  </si>
  <si>
    <t>1712002A</t>
  </si>
  <si>
    <t>MDC Operations 2012</t>
  </si>
  <si>
    <t>1516099A</t>
  </si>
  <si>
    <t>Tourism Management &amp; Development Consultancy</t>
  </si>
  <si>
    <t>2009056A</t>
  </si>
  <si>
    <t>LOCAL</t>
  </si>
  <si>
    <t>BNTF 6/7</t>
  </si>
  <si>
    <t>2014067A</t>
  </si>
  <si>
    <t>EU</t>
  </si>
  <si>
    <t>Fibre Optic Cable Phase 2</t>
  </si>
  <si>
    <t>2006074A</t>
  </si>
  <si>
    <t>ICT</t>
  </si>
  <si>
    <t>1516102A</t>
  </si>
  <si>
    <t>UNDP</t>
  </si>
  <si>
    <t>Environmental Remediation &amp; Protection</t>
  </si>
  <si>
    <t>Develop and Implement a performance monitoring framework * (PA-4.1)</t>
  </si>
  <si>
    <t>Re-establish Montserrat as a high end tourism destination * ( PA – 1.1, 1.4)</t>
  </si>
  <si>
    <t>Expand opportunities for experiencing and participating in high quality cultural events (PA- 1.1)</t>
  </si>
  <si>
    <t xml:space="preserve">Improve the quality of social and community infrastructure through mobilising financing to support obligations under the BNTF (PA- 1.4)  </t>
  </si>
  <si>
    <t>Implement the recommendations of the Functional Review to maintain a dynamic organisational structure that can deliver on the mandate and objectives of OP (4.2)</t>
  </si>
  <si>
    <t>Harmonise data in performance framework to meet demands from regional and international partners ( PA – 4.1)</t>
  </si>
  <si>
    <t>New Performance Monitoring Framework completed and submitted to Cabinet</t>
  </si>
  <si>
    <t>2014 Draft proposal framework</t>
  </si>
  <si>
    <t>Draft M &amp; E framework</t>
  </si>
  <si>
    <t>Framework submitted to Cabinet for approval</t>
  </si>
  <si>
    <t>Quarterly M &amp; E reports published by stipulated deadline</t>
  </si>
  <si>
    <t>Tourism Policy Completed</t>
  </si>
  <si>
    <t>Draft Tourism Development Plan</t>
  </si>
  <si>
    <t>Policy Submitted to Cabinet for approval</t>
  </si>
  <si>
    <t>New Tourism development organisation established</t>
  </si>
  <si>
    <t>Cultural Policy Approved By Cabinet</t>
  </si>
  <si>
    <t>Draft Cultural Policy</t>
  </si>
  <si>
    <t>Number of virement applications made to MoFEM</t>
  </si>
  <si>
    <t> 7</t>
  </si>
  <si>
    <t>% of reports accepted by Cabinet</t>
  </si>
  <si>
    <t>PROGRAMME 152: BROADCASTING</t>
  </si>
  <si>
    <t>Provide news, original content, information on government activities, and services that inform, entertain and educate all the residents of Montserrat and the overseas listening audience.</t>
  </si>
  <si>
    <t>Broadcasting Fees</t>
  </si>
  <si>
    <t>TOTAL REVENUE VOTE 17</t>
  </si>
  <si>
    <t>Review and reorganise the organisational structure to enable enhanced service delivery (PA-4.2)</t>
  </si>
  <si>
    <t>Operationalise the Davy Hill Studios to improve the quality, quantity and reliability of services delivered to the public PA 1.3)</t>
  </si>
  <si>
    <t>Develop and implement public education programmes to enable public understanding and secure public support for critical initiatives (PA  1.2)</t>
  </si>
  <si>
    <t>Improve knowledge of government activities to better engage the public in the  process of governance (PA 1.6)</t>
  </si>
  <si>
    <t>No. of gov't info programmes available on media platforms</t>
  </si>
  <si>
    <t>No. of additional public education programmes developed and implemented.</t>
  </si>
  <si>
    <t>No. of additional services offered for private sector clients or non-Government</t>
  </si>
  <si>
    <t>Programing review completed and report produced by August 2016.</t>
  </si>
  <si>
    <t xml:space="preserve">Review completed </t>
  </si>
  <si>
    <t>Draft report completed</t>
  </si>
  <si>
    <t>Implementation of new programme</t>
  </si>
  <si>
    <t>Relocation from old station to new station completed</t>
  </si>
  <si>
    <t>Procurement of critical equipment completed</t>
  </si>
  <si>
    <t>Relocation to new station completed</t>
  </si>
  <si>
    <t>% increase in revenue from advertisers and clients</t>
  </si>
  <si>
    <t>20% increase</t>
  </si>
  <si>
    <t> 30% increase</t>
  </si>
  <si>
    <t> 35% increase</t>
  </si>
  <si>
    <t>Improved reliability of transmission</t>
  </si>
  <si>
    <t>Improved awareness of all GoM information.</t>
  </si>
  <si>
    <t>PROGRAMME 153: EXTERNAL AFFAIRS</t>
  </si>
  <si>
    <t>Engaging the diaspora and coordinating relations with foreign governments and regional and international organizations to create opportunities for Montserrat</t>
  </si>
  <si>
    <t>Redefine the role and functions of the Montserrat UK Office to enhance their capability to promote and support Montserrat economic, political and population (1.1, 1.2, 1.6)</t>
  </si>
  <si>
    <r>
      <rPr>
        <sz val="8"/>
        <color rgb="FF000000"/>
        <rFont val="Arial"/>
        <family val="2"/>
      </rPr>
      <t>Leverage membership in regional organisations to assist in achieving GoM’s objectives</t>
    </r>
    <r>
      <rPr>
        <sz val="8"/>
        <color theme="1"/>
        <rFont val="Arial"/>
        <family val="2"/>
      </rPr>
      <t xml:space="preserve"> </t>
    </r>
    <r>
      <rPr>
        <sz val="8"/>
        <color rgb="FF000000"/>
        <rFont val="Arial"/>
        <family val="2"/>
      </rPr>
      <t>organisations for Montserrat to derive maximum benefit from its membership contributions (1.1, 1.2)</t>
    </r>
  </si>
  <si>
    <t>Clarify the benefits available under the incentives policy to improve public understanding (1.1, 1.2, 1.6)</t>
  </si>
  <si>
    <t>Develop and implement a Diaspora Policy to strengthen ties between Montserratians on island and those in the diaspora (1.6)</t>
  </si>
  <si>
    <t>Develop a migration policy to protect Montserrat’s borders, attract necessary skills and support population growth (5.1, 5.2)</t>
  </si>
  <si>
    <t>Assess the feasibility of establishing representation for Montserrat in other territories</t>
  </si>
  <si>
    <t>Migration Policy developed</t>
  </si>
  <si>
    <t>Policy developed and submitted to Cabinet</t>
  </si>
  <si>
    <t>Diaspora Handbook updated</t>
  </si>
  <si>
    <t>Updated Handbook Published</t>
  </si>
  <si>
    <t>Completion of Ease of Doing Business Survey</t>
  </si>
  <si>
    <t>Survey published</t>
  </si>
  <si>
    <t>Montserrat UK Office restructured</t>
  </si>
  <si>
    <t>Number of diaspora engagement sessions and meetings</t>
  </si>
  <si>
    <t>Number of requests for information and assistance in the areas of business development or investment</t>
  </si>
  <si>
    <t>Functional Review ongoing</t>
  </si>
  <si>
    <t>Recommendations of Functional Review available</t>
  </si>
  <si>
    <t>Degree of satisfaction of the Premier with programme services using a 1 – 5 ranking</t>
  </si>
  <si>
    <t>PROGRAMME 154: DEVELOPMENT PLANNING &amp; POLICY COORDINATION</t>
  </si>
  <si>
    <t>To develop and co-ordinate appropriate plans and policies to promote sustainable development</t>
  </si>
  <si>
    <t>Wider stakeholder engagement for the development and implementation of the Medium Term Policy Framework</t>
  </si>
  <si>
    <t>Strengthen and align the policy management and formulation framework across GoM</t>
  </si>
  <si>
    <t xml:space="preserve">Annual updated Policy Register </t>
  </si>
  <si>
    <t>Number of Trainings delivered</t>
  </si>
  <si>
    <t>Number of consultations conducted (per policy)</t>
  </si>
  <si>
    <t>Number of instances of formal participation in policy development process (per policy)</t>
  </si>
  <si>
    <t xml:space="preserve">Knowledge of the policy development process across GoM </t>
  </si>
  <si>
    <t>Ease of use of the policy development tools</t>
  </si>
  <si>
    <t>PROGRAMME 155: INFORMATION TECHNOLOGY &amp; E-GOVERNMENT SERVICES</t>
  </si>
  <si>
    <t>To formulate ICT strategy and engage in the delivery and support of world class IT and e-Government services across the Government of Montserrat.</t>
  </si>
  <si>
    <t>Support government departments in the development and implementation of e-government applications to streamline internal operations</t>
  </si>
  <si>
    <t>Upgrade the data centre to provide better data retention and security</t>
  </si>
  <si>
    <t>Develop and implement new data back-up protocols to include offshore and cloud services</t>
  </si>
  <si>
    <t>Maintain government ICT equipment and network infrastructure</t>
  </si>
  <si>
    <t>Support the delivery of the Montserrat submarine fibre</t>
  </si>
  <si>
    <t>No. of Policies Developed and implemented</t>
  </si>
  <si>
    <t> 1</t>
  </si>
  <si>
    <t>No. of eGovernment Applications Developed</t>
  </si>
  <si>
    <t>No. of service calls responded to</t>
  </si>
  <si>
    <t> 1205</t>
  </si>
  <si>
    <t> 1250</t>
  </si>
  <si>
    <t>Number of new applications to enable government business to be transacted by electronic means</t>
  </si>
  <si>
    <t>Average resolution time for service calls</t>
  </si>
  <si>
    <t> 1 day</t>
  </si>
  <si>
    <t>DEVELOPMENT PLANNING &amp; POLICY COORDINATION</t>
  </si>
  <si>
    <t>TOTAL VOTE 15</t>
  </si>
  <si>
    <t>VOTE:  17 CABINET SECRETARIAT – SUMMARY</t>
  </si>
  <si>
    <t>Cabinet Secretariat, Information, Technology and E-Government Services, and Broadcasting -</t>
  </si>
  <si>
    <t>Zero dollars</t>
  </si>
  <si>
    <t>Cabinet Secretary</t>
  </si>
  <si>
    <t>SUB-HEADS  which under this vote will be accounted for by the Cabinet Secretary</t>
  </si>
  <si>
    <t>Economic Management</t>
  </si>
  <si>
    <t>Human Development</t>
  </si>
  <si>
    <t>Environmental Management and Disaster Mitigation</t>
  </si>
  <si>
    <t>Governance</t>
  </si>
  <si>
    <t>Population</t>
  </si>
  <si>
    <t xml:space="preserve">A stable and diversified economy with sustained economic growth.                                                                                                            </t>
  </si>
  <si>
    <t xml:space="preserve">An enabling business environment.                                     </t>
  </si>
  <si>
    <t xml:space="preserve">Appropriate high quality economic and info-communication infrastructure.                                                         </t>
  </si>
  <si>
    <t>A well-developed and effective education and training system that produces well-rounded and qualified life-long learners.</t>
  </si>
  <si>
    <t>Effective disaster mitigation, response and recovery at the national and community levels and adaptation to climate change.</t>
  </si>
  <si>
    <t>A transparent and effective accountability framework within Government and the Public Sector.</t>
  </si>
  <si>
    <t>A stable and viable population, appropriate for the development needs of the island.</t>
  </si>
  <si>
    <t>Cabinet Secretariat</t>
  </si>
  <si>
    <t>Info.Technology &amp; E-Government Services</t>
  </si>
  <si>
    <t>Broadcasting</t>
  </si>
  <si>
    <t>TOTAL EXPENDITURE VOTE 17</t>
  </si>
  <si>
    <t>PROGRAMME 170:  CABINET SECRETARIAT</t>
  </si>
  <si>
    <t>To provide logistical support to Cabinet (&amp;Committees)  and to monitor the overall performance of Government to ensure the business of Government is conducted in a timely manner.</t>
  </si>
  <si>
    <t>BNTF 6</t>
  </si>
  <si>
    <t>Development of strategy for Cabinet</t>
  </si>
  <si>
    <t>No of Cabinet Meetings serviced</t>
  </si>
  <si>
    <t>No of Monitoring Reports Produced</t>
  </si>
  <si>
    <t>No of plans and programmes monitored</t>
  </si>
  <si>
    <t>Average time to disseminate Minutes</t>
  </si>
  <si>
    <t>Level of satisfaction of Cabinet members to Service Delivery</t>
  </si>
  <si>
    <t>PROGRAMME 171: DEVELOPMENT PLANNING &amp; POLICY COORDINATION</t>
  </si>
  <si>
    <t>Formulation of the relevant plans and policies</t>
  </si>
  <si>
    <t>Lead on continuing process of implementation of the Medium Term Expenditure Policy Framework</t>
  </si>
  <si>
    <t>No. of recommendations or action plans being developed</t>
  </si>
  <si>
    <t>No. of policies developed and updated</t>
  </si>
  <si>
    <t>No. of policies submitted to Cabinet</t>
  </si>
  <si>
    <t xml:space="preserve">% of recommendations implemented </t>
  </si>
  <si>
    <t>% of action plans approved by Cabinet</t>
  </si>
  <si>
    <t>% of policies submitted that were approved by Cabinet</t>
  </si>
  <si>
    <t>PROGRAMME 172: INFORMATION TECHNOLOGY &amp; E-GOVERNMENT SERVICES</t>
  </si>
  <si>
    <t>Streamlining Government Internal Operations through the use of IT Systems</t>
  </si>
  <si>
    <t>% of government business transacted by electronic means</t>
  </si>
  <si>
    <t>Level of satisfaction with ICT services delivered</t>
  </si>
  <si>
    <t>PROGRAMME 173: BROADCASTING</t>
  </si>
  <si>
    <t xml:space="preserve">Information and Broadcasting </t>
  </si>
  <si>
    <t>Streamlining the delivery of information to the public</t>
  </si>
  <si>
    <t>No. of hours of gov't info programmes available on media platforms</t>
  </si>
  <si>
    <t>No of production services for private sector clients</t>
  </si>
  <si>
    <t>No of hours of radio and television broadcasting</t>
  </si>
  <si>
    <t>% of hours of local content</t>
  </si>
  <si>
    <t>Amount of revenue from advertisers and clients</t>
  </si>
  <si>
    <t>% of people aware of government programmes on all media</t>
  </si>
  <si>
    <t>CABINET SECRETARIAT</t>
  </si>
  <si>
    <t>Fees</t>
  </si>
  <si>
    <t>TOTAL VOTE 17</t>
  </si>
  <si>
    <t>VOTE:  20  MINISTRY OF FINANCE &amp; ECONOMIC MANAGEMENT – SUMMARY</t>
  </si>
  <si>
    <t>Ministry of Finance, Statistics,Treasury, and Customs and Revenue Departments, the General Post Office, and the Internal Audit Unit</t>
  </si>
  <si>
    <t>Twenty-seven million, six hundred ninety-six thousand six hundred dollars</t>
  </si>
  <si>
    <t>Deputy Financial Secretary</t>
  </si>
  <si>
    <t>SUB-HEADS  which under this vote will be accounted for by the Deputy Financial Secretary</t>
  </si>
  <si>
    <t>Public Administration is efficient and responsive</t>
  </si>
  <si>
    <t>To be the pre-eminent financial services organisation supporting the achievement of a financially stable and independent Montserrat.</t>
  </si>
  <si>
    <t>To secure and allocate appropriate levels of financial resources to fund public programmes and provide a strong but enabling framework to ensure that government’s financial and other resources are managed in an economically wise manner.</t>
  </si>
  <si>
    <t>Fiscal Policy &amp; Economic Management</t>
  </si>
  <si>
    <t>Statistical Management</t>
  </si>
  <si>
    <t>Treasury Management</t>
  </si>
  <si>
    <t>Customs &amp; Revenue Service</t>
  </si>
  <si>
    <t>General Post Office</t>
  </si>
  <si>
    <t>Internal Audit</t>
  </si>
  <si>
    <t>TOTAL REVENUE VOTE 20</t>
  </si>
  <si>
    <t>TOTAL EXPENDITURE VOTE 20</t>
  </si>
  <si>
    <t>PROGRAMME 200:  STRATEGIC MANAGEMENT &amp; ADMINSTRATION</t>
  </si>
  <si>
    <t>Provide timely and high quality budget planning and advice to Government to enable it to allocate resources to its highest priority economic and social goals</t>
  </si>
  <si>
    <t>Sale of Condemned Stores</t>
  </si>
  <si>
    <t>Establish tax revenue and incentives working group to streamline incentives for sectors and industries identified in economic strategy (1.1, 1.2, 1.3, 1.5)</t>
  </si>
  <si>
    <t>Ensure the legislative framework broadly supports enabling environment for business development including financial services and taxes (1.1, 1.2, 1.3, 1.5)</t>
  </si>
  <si>
    <t>Modernise the PFMA to ensure that government’s financial management operations conform to international standards (1.2, 1.3, 1.5)</t>
  </si>
  <si>
    <t>Review the procurement regulations to identify obstacles for doing business with the government (1.3, 1.5)</t>
  </si>
  <si>
    <t>Enhance capacity of stakeholders to understand regulations and use procurement tools through training and the production of a user guide (1.3, 1.5)</t>
  </si>
  <si>
    <t>No. of Payments Processed</t>
  </si>
  <si>
    <t> 30</t>
  </si>
  <si>
    <t xml:space="preserve">
Production of procurement handbook</t>
  </si>
  <si>
    <t>Produced</t>
  </si>
  <si>
    <t xml:space="preserve">
Number of training session on procurement held</t>
  </si>
  <si>
    <t>No of Tenders  Awarded</t>
  </si>
  <si>
    <t> 5</t>
  </si>
  <si>
    <t>Percentage of invoices rejected for errors</t>
  </si>
  <si>
    <t>PROGRAMME 203: FISCAL POLICY &amp; ECONOMIC MANAGEMENT</t>
  </si>
  <si>
    <t>To provide timely Financial Forecasts and Economic Advice to enable Government to prepare a fiscally responsible Budget that allocates resources to its highest priorities and social and economic goals</t>
  </si>
  <si>
    <t>Bank Interest Levy</t>
  </si>
  <si>
    <t>Other Licenses</t>
  </si>
  <si>
    <t>Fines on Gov't Officers</t>
  </si>
  <si>
    <t xml:space="preserve">Weights and Measures </t>
  </si>
  <si>
    <t>Bank of Mont. Interest (CDB)</t>
  </si>
  <si>
    <t>Port Auth. CDB INT#1 SFR-ORM</t>
  </si>
  <si>
    <t>Other Interest</t>
  </si>
  <si>
    <t>Misc Rents, Interests, Dividends</t>
  </si>
  <si>
    <t>145</t>
  </si>
  <si>
    <t>Reimbursement-2nded Ofcrs.</t>
  </si>
  <si>
    <t>Budgetary Assistance</t>
  </si>
  <si>
    <t>160</t>
  </si>
  <si>
    <t>Gains on Exchange</t>
  </si>
  <si>
    <t>Port Auth. Princ #1 SFR-ORM</t>
  </si>
  <si>
    <t>Disposal of Vehicles</t>
  </si>
  <si>
    <t>Debt Servicing -Interest</t>
  </si>
  <si>
    <t>2002065A</t>
  </si>
  <si>
    <t>Private Sector Development</t>
  </si>
  <si>
    <t>2007078A</t>
  </si>
  <si>
    <t xml:space="preserve">Project Management </t>
  </si>
  <si>
    <t>2008032A</t>
  </si>
  <si>
    <t>Education Infastructure</t>
  </si>
  <si>
    <t>2009061A</t>
  </si>
  <si>
    <t xml:space="preserve">Government Accomodation </t>
  </si>
  <si>
    <t>2012033A</t>
  </si>
  <si>
    <t>Census 2012</t>
  </si>
  <si>
    <t>2012034A</t>
  </si>
  <si>
    <t>Technical Support</t>
  </si>
  <si>
    <t>2013036A</t>
  </si>
  <si>
    <t xml:space="preserve">Carr's Bay Port Development </t>
  </si>
  <si>
    <t>2014024A</t>
  </si>
  <si>
    <t>Miscellaneous (Small Capital) 14</t>
  </si>
  <si>
    <t>2014037A</t>
  </si>
  <si>
    <t xml:space="preserve">Hospital Redevelopment </t>
  </si>
  <si>
    <t>2014066A</t>
  </si>
  <si>
    <t xml:space="preserve">Port Development(Gunn Hill) </t>
  </si>
  <si>
    <t>2014068A</t>
  </si>
  <si>
    <t xml:space="preserve">Sports Centre </t>
  </si>
  <si>
    <t>2014070A</t>
  </si>
  <si>
    <t>Miscellaneous 14</t>
  </si>
  <si>
    <t>2014071A</t>
  </si>
  <si>
    <t>MUL GENSET</t>
  </si>
  <si>
    <t>2014072A</t>
  </si>
  <si>
    <t>LookOut Housing Force 10</t>
  </si>
  <si>
    <t>2014073A</t>
  </si>
  <si>
    <t>Credit Union Support to Housing</t>
  </si>
  <si>
    <t>2014074A</t>
  </si>
  <si>
    <t>Davy Hill</t>
  </si>
  <si>
    <t>2015078A</t>
  </si>
  <si>
    <t>Port Development</t>
  </si>
  <si>
    <t>2015077A</t>
  </si>
  <si>
    <t>Economic Infrastructure Development</t>
  </si>
  <si>
    <t>2015076A</t>
  </si>
  <si>
    <t>Water Course Embankment Protection</t>
  </si>
  <si>
    <t>2015075A</t>
  </si>
  <si>
    <t>Promotion and Development</t>
  </si>
  <si>
    <t>2016100A</t>
  </si>
  <si>
    <t>M/Rat Priority Infrastructure Needs -RDEL</t>
  </si>
  <si>
    <t>Produce economic strategy to allow for policy-based budget allocations.(1.1; 1.2; 1.4; 1.5; 1.6; 4.1)</t>
  </si>
  <si>
    <t>Strengthen the culture of evidence based policy making through the conducting of comprehensive economic appraisals on policies and projects (CBA &amp; Multi-criteria)(4.1)</t>
  </si>
  <si>
    <t>Support efforts to improve monitoring, evaluation and reporting through training and consultation (4.1)</t>
  </si>
  <si>
    <t>Strengthen the framework for public financial management and oversight by implementing reforms to link policy to strategic planning and resource allocation (4.1)</t>
  </si>
  <si>
    <t>Improve transparency and accountability for the whole of government with the annual estimated and through regular reporting on all public funds (4.1);</t>
  </si>
  <si>
    <t>Manage and monitor Montserrat’s Public Debt to ensure its payment obligations are met at the lowest possible cost over the medium to long run consistent with a prudent degree of risk. (1.1; 4.1)</t>
  </si>
  <si>
    <t>Economic Strategy produced</t>
  </si>
  <si>
    <t>Number of reports accepted by Cabinet</t>
  </si>
  <si>
    <t>Number of projects subjected to CBA.</t>
  </si>
  <si>
    <t>Adoption of economic strategy by Cabinet</t>
  </si>
  <si>
    <t>% of Reports accepted by Cabinet</t>
  </si>
  <si>
    <t>Number of project evaluations meeting PEFA PI II-Dimension I standards</t>
  </si>
  <si>
    <t>PROGRAMME 204: STATISTICAL MANAGEMENT</t>
  </si>
  <si>
    <t>To collect, compile, analyse and publish statistical information on the economic, social and general conditions of Montserrat, while protecting the confidentiality of information provided</t>
  </si>
  <si>
    <t>Purchase of Equipment</t>
  </si>
  <si>
    <t>Collect and analyse survey data to strengthen evidence base decision making for accountability and transparency. (4.1, 4.2</t>
  </si>
  <si>
    <t>Disseminate data to internal stakeholders and the public to build confidence in the official statistics (4.1, 4.2</t>
  </si>
  <si>
    <t>Production of economic, social, environment, and multi-domain statistics to improve transparency of government financing (4.1, 4.2</t>
  </si>
  <si>
    <t>Development and implementation of an awareness and advocacy programme to strengthen confidence in the official statistics (1.3, 4.1)</t>
  </si>
  <si>
    <t>No. of Census releases and publications</t>
  </si>
  <si>
    <t>0 </t>
  </si>
  <si>
    <t>1 </t>
  </si>
  <si>
    <t>No. of new data series developed</t>
  </si>
  <si>
    <t>2 </t>
  </si>
  <si>
    <t>1` </t>
  </si>
  <si>
    <t>No. of surveys conducted</t>
  </si>
  <si>
    <t>No. of requests received</t>
  </si>
  <si>
    <t>266 est</t>
  </si>
  <si>
    <t>No. of regional statistical projects implemented</t>
  </si>
  <si>
    <t>No. of statistical publications distributed</t>
  </si>
  <si>
    <t>Survey response rates (over time)</t>
  </si>
  <si>
    <t>PROGRAMME 205: TREASURY MANAGEMENT</t>
  </si>
  <si>
    <t>To provide effective and accountable Treasury Management and Accounting Services to the Government</t>
  </si>
  <si>
    <t xml:space="preserve">Stamp Duty                           </t>
  </si>
  <si>
    <t>Other Business</t>
  </si>
  <si>
    <t>Foreign Currency Levy</t>
  </si>
  <si>
    <t xml:space="preserve">Incentive Application            </t>
  </si>
  <si>
    <t>JCF Deposits</t>
  </si>
  <si>
    <t>Personal Advances</t>
  </si>
  <si>
    <t>Share of ECCB Profit</t>
  </si>
  <si>
    <t>Reimbursement - Saving Bank</t>
  </si>
  <si>
    <t>Overpayments Recovered</t>
  </si>
  <si>
    <t>Previous Years Reimbursement</t>
  </si>
  <si>
    <t>Petty Receipts</t>
  </si>
  <si>
    <t>Miscellaneous Receipts</t>
  </si>
  <si>
    <t>Increases in Salary and Wages</t>
  </si>
  <si>
    <t>Local Travel</t>
  </si>
  <si>
    <t>Upgrade accounting systems to meet international standards to improve management of public funds (4.1, 4.2)</t>
  </si>
  <si>
    <t>Streamline business processes to make payments easier (payment methods - corporate credit card, customers can pay at any collection point, bank deposits) to reduce barriers to doing business (1.3, 1.5)</t>
  </si>
  <si>
    <t>Introduce asset management system to better track and control public assets (4.1, 4.2)</t>
  </si>
  <si>
    <t>No. of complete financial reports</t>
  </si>
  <si>
    <t>No of bank reconciliations</t>
  </si>
  <si>
    <t> 84</t>
  </si>
  <si>
    <r>
      <t>Outcome Indicators</t>
    </r>
    <r>
      <rPr>
        <i/>
        <sz val="8"/>
        <color theme="1"/>
        <rFont val="Arial"/>
        <family val="2"/>
      </rPr>
      <t xml:space="preserve"> (quantifiable measures of outcomes, impact and/or effectiveness of the programme with reference to the above strategic goals and programme objectives.)</t>
    </r>
  </si>
  <si>
    <t xml:space="preserve">Average time taken to submit annual reports </t>
  </si>
  <si>
    <t> 6mths</t>
  </si>
  <si>
    <t>6mths</t>
  </si>
  <si>
    <t>Average time to process payroll</t>
  </si>
  <si>
    <t> 15 days</t>
  </si>
  <si>
    <t>15 days</t>
  </si>
  <si>
    <t>% of transactions processed electronically</t>
  </si>
  <si>
    <t> New Indicator</t>
  </si>
  <si>
    <t>TBD </t>
  </si>
  <si>
    <t>PROGRAMME 206: CUSTOMS &amp; REVENUE SERVICE</t>
  </si>
  <si>
    <t>To administer tax and customs control fairly and efficiently.</t>
  </si>
  <si>
    <t>Company Tax</t>
  </si>
  <si>
    <t>Income Tax (Personal)</t>
  </si>
  <si>
    <t>Withholding Tax</t>
  </si>
  <si>
    <t xml:space="preserve">Hotel/Residential Occupancy Tax </t>
  </si>
  <si>
    <t>Insurance Company Levy</t>
  </si>
  <si>
    <t xml:space="preserve">Embarkation Tax        </t>
  </si>
  <si>
    <t xml:space="preserve">Import Duties                        </t>
  </si>
  <si>
    <t xml:space="preserve">Consumption Tax               </t>
  </si>
  <si>
    <t xml:space="preserve">Entertainment Tax                  </t>
  </si>
  <si>
    <t>Customs Processing Fee</t>
  </si>
  <si>
    <t>Cruise Ship Tax (DEFERRED)</t>
  </si>
  <si>
    <t xml:space="preserve">Customs Fines </t>
  </si>
  <si>
    <t xml:space="preserve">Customs Officers Fees       </t>
  </si>
  <si>
    <t>Shipping Fees</t>
  </si>
  <si>
    <t>ASYCUDA User Access Fees</t>
  </si>
  <si>
    <t>Royalties - Quarries</t>
  </si>
  <si>
    <t xml:space="preserve">Customs Auction                   </t>
  </si>
  <si>
    <t>• Introduce tax administration computer system to provide a better service to the taxpayer and improve compliance (4.1)</t>
  </si>
  <si>
    <t>Review the tax arrears reduction strategy to improve collections of public funds (4.1)</t>
  </si>
  <si>
    <t>Introduce a tax identification number for all taxpayers to improve tax administration and facilitate doing business (4.1, 4.2, 1.3)</t>
  </si>
  <si>
    <t>Develop capacity to fulfil international obligations, including facilitating automatic exchange of tax information (1.2, 1.3, 4.1)</t>
  </si>
  <si>
    <t>Strengthen public information relating to tax administration (processes, procedures, obligations, timelines) to increase transparency and accountability (4.1)</t>
  </si>
  <si>
    <t>No of examinations of accounts</t>
  </si>
  <si>
    <t>6 per week</t>
  </si>
  <si>
    <t>No of examinations of passengers, cargo and baggage</t>
  </si>
  <si>
    <t>Random- Passengers &amp; Baggage-54%</t>
  </si>
  <si>
    <t>100% risk based</t>
  </si>
  <si>
    <t>Risk Base- Cargo- 50%</t>
  </si>
  <si>
    <t>Risk Base- Cargo- 50%
(Introduction of Risk Base analysis for all examinations)</t>
  </si>
  <si>
    <t>No. of Tax Audits Completed</t>
  </si>
  <si>
    <t>1 per week (PAYE only until Audit Manager position is filed)</t>
  </si>
  <si>
    <t>2 per week (PAYE only until Audit Manager position is filed)</t>
  </si>
  <si>
    <t>3 per week (PAYE only until Audit Manager position is filed)</t>
  </si>
  <si>
    <t>4 per week (PAYE only until Audit Manager position is filed)</t>
  </si>
  <si>
    <t>No. of site visits and patrols</t>
  </si>
  <si>
    <t>Customs Div.- 12 pa</t>
  </si>
  <si>
    <t>Revenue Div.- 3 per week</t>
  </si>
  <si>
    <t>No. of persons registered under TIN system</t>
  </si>
  <si>
    <t>Stakeholder and expert Consultation, review and Implementation of system.
[Subject to approved capital project to Introduce tax administration computer system]</t>
  </si>
  <si>
    <t>Stakeholder and expert Consultation, review and Implementation of system</t>
  </si>
  <si>
    <t>60% of relevant persons [Relevance not determined at this point]</t>
  </si>
  <si>
    <t>100% of relevant persons</t>
  </si>
  <si>
    <r>
      <t>No. of controlled</t>
    </r>
    <r>
      <rPr>
        <sz val="11"/>
        <color theme="1"/>
        <rFont val="Calibri"/>
        <family val="2"/>
        <scheme val="minor"/>
      </rPr>
      <t xml:space="preserve"> goods </t>
    </r>
    <r>
      <rPr>
        <sz val="9"/>
        <color rgb="FF000000"/>
        <rFont val="Arial"/>
        <family val="2"/>
      </rPr>
      <t>seized</t>
    </r>
  </si>
  <si>
    <t>100% of detected items</t>
  </si>
  <si>
    <t>% of taxpayers registered under TIN system</t>
  </si>
  <si>
    <t>No. of outstanding assessments</t>
  </si>
  <si>
    <t>&lt;500</t>
  </si>
  <si>
    <t>&lt;50</t>
  </si>
  <si>
    <t>No. of taxpayers with outstanding accounts</t>
  </si>
  <si>
    <t>6000 [Income, Property and Company]</t>
  </si>
  <si>
    <t>Amount of tax arrears</t>
  </si>
  <si>
    <t>PROGRAMME 207: GENERAL POST OFFICE</t>
  </si>
  <si>
    <t>To be a more innovative, customer focused &amp; sustainable Postal Services</t>
  </si>
  <si>
    <t>Commissions on Money Order</t>
  </si>
  <si>
    <t>Parcel Post</t>
  </si>
  <si>
    <t>Stamp Sales</t>
  </si>
  <si>
    <t>Gain on Remittances</t>
  </si>
  <si>
    <t>Improve facilities to enable the expansion of services being offered to customers (1.3, 1.4, 4.1, 4.2)</t>
  </si>
  <si>
    <t>Implement systems to improve the security and traceability of mail to enhance service efficiency (1.3, 1.4, 4.1, 4.2)</t>
  </si>
  <si>
    <t>Reorganise services to incorporate Philatelic Services to improve efficiency and expansion of stamp sales and philatelic operations (1.3, 1.4, 4.1, 4.2)</t>
  </si>
  <si>
    <t>No of post boxes installed</t>
  </si>
  <si>
    <t>Track &amp; trace system installed</t>
  </si>
  <si>
    <t>No of post boxes rented</t>
  </si>
  <si>
    <t>% revenue generated from post box rental</t>
  </si>
  <si>
    <t>PROGRAMME 208: INTERNAL AUDIT UNIT</t>
  </si>
  <si>
    <t>To deliver independent and objective quality assurance and consulting services to increase the value proposition to clients and other stakeholders regarding governance, risk management and compliance processes</t>
  </si>
  <si>
    <t>Market the Internal Audit Function within GOM to foster greater collaboration to improve transparency and accountability within the public sector. (4.1)</t>
  </si>
  <si>
    <t>Improve the independence of Internal Audit through establishing the Audit Committee within a strategic framework to contribute to better governance and address risk and control issues. (4.1)</t>
  </si>
  <si>
    <t>Improve systems for a more responsive and accountable system of governance through the delivery of timely reporting and by monitoring implementation of audit recommendations. (4.1)</t>
  </si>
  <si>
    <t>Number of communication methods used to inform stakeholders</t>
  </si>
  <si>
    <t>Percentage of departmental processes for audits implemented</t>
  </si>
  <si>
    <t>Number of audits conducted</t>
  </si>
  <si>
    <t>Number of Audit Committee meetings</t>
  </si>
  <si>
    <t>Days from end of fieldwork to report issuance</t>
  </si>
  <si>
    <t>TOTAL VOTE 20</t>
  </si>
  <si>
    <t>VOTE:  MINISTRY OF AGRICULATURE, LANDS, HOUSING, ENVIRONMENT &amp; TRADE– SUMMARY</t>
  </si>
  <si>
    <t>Ministry HQ, Agricultural Services, Lands Administration, Physical Planning,  Environment Management, Housing and</t>
  </si>
  <si>
    <t>Trade &amp; Quality Infrastructure - Nine million four hundred eighty-eight thousand five hundred dollars.</t>
  </si>
  <si>
    <t>1.1 To change the development focus from post-volcano mode to developing and implementing plans focused on sustainable self-sufficiency that capture the spirit of Montserrat’s past and preserve Montserrat’s culture including enhancing relationships within the region and with key development partners;</t>
  </si>
  <si>
    <t>1.2 Priority sectors for generating foreign direct investment identified including those that leverage Montserrat’s unique assets and character and implement appropriate sector strategies;</t>
  </si>
  <si>
    <t>1.3 Identification of obstacles to doing business and sequenced plans implemented for their removal and mitigation;</t>
  </si>
  <si>
    <t>1.4 Priority infrastructure for generating economic growth identified and plans put in place to deliver;</t>
  </si>
  <si>
    <t>1.5 Local resources unlocked to stimulate growth in domestic business;</t>
  </si>
  <si>
    <t>2.6   Improved access to affordable housing for low and middle income residents;</t>
  </si>
  <si>
    <t>2.7   Increased social housing stock supported by an equitable allocation policy;</t>
  </si>
  <si>
    <t xml:space="preserve">2.9   Increased protection of our children and vulnerable youth; </t>
  </si>
  <si>
    <t xml:space="preserve">3.1   Improved legislation, governance framework, capacity, scientific monitoring and outreach to sustainably manage environmental  resources (terrestrial and marine) and make the island a centre of excellence in environmental and volcanic research; </t>
  </si>
  <si>
    <t xml:space="preserve">3.3   Physical infrastructure, including housing, designed and built for resilience against disasters and climate change conditions; </t>
  </si>
  <si>
    <t xml:space="preserve">4.1   Strengthened transparency, accountability and public engagement within the national Governance Framework, and; </t>
  </si>
  <si>
    <t xml:space="preserve">4.2   Public Service reformed to improve efficiency and effectiveness in the provision of essential public services. </t>
  </si>
  <si>
    <t>A vibrant and diverse economy that supports sustainable private sector led economic activity and generates employment.</t>
  </si>
  <si>
    <t xml:space="preserve">Improve food security                                                                                                                                                                                                  </t>
  </si>
  <si>
    <t xml:space="preserve">Physical insfrastructure in place to support development.                                                                               </t>
  </si>
  <si>
    <t>Sustainable use and management of the environment and natural resources.</t>
  </si>
  <si>
    <t xml:space="preserve">Effective social protection to enhance the well-being fo the vulnerable population.                             </t>
  </si>
  <si>
    <t xml:space="preserve">Access to decent and affordable housing solutions.                                                                                          </t>
  </si>
  <si>
    <t>A modern ministry that contributes to the development of Montserrat benefitting present and future generations by enabling the sustainable use of natural resources.</t>
  </si>
  <si>
    <t>To formulate policy, plan programs and manage resources to support the appropriate usage of land, natural resources and the provision of affordable housing opportunities, in order to contribute to individual well-being and economic growth.</t>
  </si>
  <si>
    <t>Agricultural Services</t>
  </si>
  <si>
    <t>Land Administration</t>
  </si>
  <si>
    <t>Physical Planning &amp; Development</t>
  </si>
  <si>
    <t>Environmental Management</t>
  </si>
  <si>
    <t>Housing Policy &amp; Support Services</t>
  </si>
  <si>
    <t>Trade</t>
  </si>
  <si>
    <t>TOTAL REVENUE VOTE 30</t>
  </si>
  <si>
    <t>TOTAL EXPENDITURE VOTE 30</t>
  </si>
  <si>
    <t>PROGRAMME 300:  STRATEGIC MANAGEMENT &amp; ADMINSTRATION</t>
  </si>
  <si>
    <t>To guide and co-ordinate policy formulation, programme implementation and resource management for MATLHE’s Units</t>
  </si>
  <si>
    <t xml:space="preserve">Landholding Licenses       </t>
  </si>
  <si>
    <t>Mining Licences</t>
  </si>
  <si>
    <t xml:space="preserve">Real Est. Agents Regis .     </t>
  </si>
  <si>
    <t>General Receipts</t>
  </si>
  <si>
    <t>3008058A</t>
  </si>
  <si>
    <t>OTEP</t>
  </si>
  <si>
    <t>Overseas Territories Environmental</t>
  </si>
  <si>
    <t>3009060A</t>
  </si>
  <si>
    <t>DARWIN</t>
  </si>
  <si>
    <t>DARWIN Initiatives Post Project</t>
  </si>
  <si>
    <t>3014060A</t>
  </si>
  <si>
    <t>Toilet Facilities (Vulnerable)</t>
  </si>
  <si>
    <t>3014062A</t>
  </si>
  <si>
    <t>Abattoir (Mahle) (Equipping Abattoir)</t>
  </si>
  <si>
    <t>3015063A</t>
  </si>
  <si>
    <t>Social Housing Programme</t>
  </si>
  <si>
    <t>3016093A</t>
  </si>
  <si>
    <t>Emergency Shelters</t>
  </si>
  <si>
    <t>3016096A</t>
  </si>
  <si>
    <t xml:space="preserve">Social Housing </t>
  </si>
  <si>
    <t>3016101A</t>
  </si>
  <si>
    <t>Agriculture Infrastructure Development</t>
  </si>
  <si>
    <t>1. Broaden the talent management strategies, to address succession planning. (4.2)</t>
  </si>
  <si>
    <t>2. Implement a financial strategy, focused on outsourcing of non-core functions, operational efficiency and revenue generation. (1.5)</t>
  </si>
  <si>
    <t>3. Increase awareness and information of Ministry’s services, to improve visibility and stakeholder outreach. (4.1)</t>
  </si>
  <si>
    <t>4. Improve customer relationship management with the establishment and implementation of customer support facilities. (4.1)</t>
  </si>
  <si>
    <t>5. Expand knowledge management infrastructure, including information systems, to enhance policy formulation, decision making and service delivery. (4.1)</t>
  </si>
  <si>
    <t>No of Policy Papers, Strategic Planning documents and Monitoring Reports submitted to Cabinet and/or Minister</t>
  </si>
  <si>
    <t>No of Budget Estimates, Expenditure &amp; Revenue Projections and Reconciliation Statements prepared</t>
  </si>
  <si>
    <t>No of revenue/cost saving/process improvement measures introduced</t>
  </si>
  <si>
    <t xml:space="preserve">No of Vacancy Notices submitted to initiate recruitment &amp; selection </t>
  </si>
  <si>
    <t>No of successful nominations training courses/work attachments/capacity building programmes</t>
  </si>
  <si>
    <t xml:space="preserve">% variation between actual expenditure compared to original approved recurrent budget </t>
  </si>
  <si>
    <t>No of funded vacant posts</t>
  </si>
  <si>
    <t>% of APDRs signed-off</t>
  </si>
  <si>
    <t>PROGRAMME 301: AGRICULTURAL SERVICES</t>
  </si>
  <si>
    <t>To redevelop agriculture (crop, livestock, aquaculture and marine resources) to satisfy local demand and to target specific markets for export.</t>
  </si>
  <si>
    <t>Pound Fees</t>
  </si>
  <si>
    <t>Fisheries Receipts</t>
  </si>
  <si>
    <t>Hire of Agricultural Equip.</t>
  </si>
  <si>
    <t>Plant Propagation</t>
  </si>
  <si>
    <t>Sale of Trees</t>
  </si>
  <si>
    <t>Livestock Slaughtering Fees</t>
  </si>
  <si>
    <t>Professional Services &amp; Fees</t>
  </si>
  <si>
    <t>1. Increase production of and access to targeted products (crops, livestock, poultry and fish) through research and education; outreach services, training and incentives and the implementation of specialized programmes and projects. [PP1.1]</t>
  </si>
  <si>
    <t>2. Improve access to farm lands, through establishing and maintaining agricultural infrastructure (roads, drains, irrigation systems, dams etc) [PPs 1.1 &amp; 1.4]</t>
  </si>
  <si>
    <t>3. Incentivize and support the production of high quality processed and semi-processed food products for local use and export, through the operations of the abattoir and food processing facilities. [PPs 1.1 &amp; 1.4]</t>
  </si>
  <si>
    <t>4. Conserve and sustainably manage environmentally-sensitive marine resources. [PP 1.1]</t>
  </si>
  <si>
    <t>5. Extend the availability of local food products, through increased chill and dry storage capacity. [PP 1.4]</t>
  </si>
  <si>
    <t>6. Facilitate access to farmlands through intermediation to secure and maintain economical rent or lease rates for farmers and to ensure security of tenure and predictable food supply. [PP 1.4]</t>
  </si>
  <si>
    <t>Number of training programmes for stakeholders carried out</t>
  </si>
  <si>
    <t xml:space="preserve">Number of school visits conducted </t>
  </si>
  <si>
    <t xml:space="preserve">Number of broiler chicks imported </t>
  </si>
  <si>
    <t>Number of sheltered production units established</t>
  </si>
  <si>
    <t xml:space="preserve">Pounds of fish landed </t>
  </si>
  <si>
    <t>No of schools with established gardens</t>
  </si>
  <si>
    <t>Pounds of broiler meat produced</t>
  </si>
  <si>
    <t>PROGRAMME 302: LAND ADMINISTRATION</t>
  </si>
  <si>
    <t>Provide a modern, skilled and efficient service in land surveying, mapping  and registration to support the adminstration of land in Montserrat</t>
  </si>
  <si>
    <t>Advertising  Fees</t>
  </si>
  <si>
    <t xml:space="preserve">Registration of Titles            </t>
  </si>
  <si>
    <t xml:space="preserve">Survey Fees                            </t>
  </si>
  <si>
    <t xml:space="preserve">Sale of Government Lands </t>
  </si>
  <si>
    <t xml:space="preserve">Sale of Maps etc.                   </t>
  </si>
  <si>
    <t xml:space="preserve">Lease of Government Lands             </t>
  </si>
  <si>
    <t>3006050A</t>
  </si>
  <si>
    <t>Technical Assistance for Housing</t>
  </si>
  <si>
    <t>Overseas Territories Environment</t>
  </si>
  <si>
    <t>Darwin</t>
  </si>
  <si>
    <t>Darwin Initiative Post Project</t>
  </si>
  <si>
    <t>1. Improve preservation of and access to land information through the implementation of an online registration and cadastral system [PP1.3]</t>
  </si>
  <si>
    <t>2. Improve the administration, monitoring, enforcement and legal framework in the management of Crown Lands [PP1.4]</t>
  </si>
  <si>
    <t xml:space="preserve">No of surveys checked and authenticated by Chief Surveyor </t>
  </si>
  <si>
    <t>No of surveys completed</t>
  </si>
  <si>
    <t>No of Mutations completed</t>
  </si>
  <si>
    <t xml:space="preserve">No of land transactions (transfers, cautions, charges..) recorded by the Registry </t>
  </si>
  <si>
    <t xml:space="preserve">No. of boundary disputes amicably resolved  </t>
  </si>
  <si>
    <t>PROGRAMME 303: PHYSICAL PLANNING &amp; DEVELOPMENT</t>
  </si>
  <si>
    <t>To formulate policy and implement programmes, to support and ensure the sustainable usage of the built environment</t>
  </si>
  <si>
    <t>Electricity Inspection Fees</t>
  </si>
  <si>
    <t>Planning Application Fees</t>
  </si>
  <si>
    <t>Sand Mining Fees</t>
  </si>
  <si>
    <t>GIS User Fees</t>
  </si>
  <si>
    <t>Other Fees Fines and Permits</t>
  </si>
  <si>
    <t>Agriculture Activities</t>
  </si>
  <si>
    <t>1.Facilitate and promote compliance of building construction standards through implementation of national Building Code.[PP3.3]</t>
  </si>
  <si>
    <t xml:space="preserve">2.Create a more knowledgeable community through educational awareness of physical planning and development laws. [PP3.3]                                             </t>
  </si>
  <si>
    <t>3.Regulate land use through education, monitoring and enforcement of legislation. [PP3.3]</t>
  </si>
  <si>
    <t>4.Improve ability of local stakeholders in the use of GIS data and to manage the national transformation to GIS applications, through the provision of training. [PP3.3]</t>
  </si>
  <si>
    <t>Number of planning applications received and assessed for approval</t>
  </si>
  <si>
    <t>Number of Electrical Inspections completed</t>
  </si>
  <si>
    <t>Number of Building inspections completed</t>
  </si>
  <si>
    <t>Number of public awareness programmes (to include GIS Day)</t>
  </si>
  <si>
    <t>No of introductory training provided to GIS’ end users</t>
  </si>
  <si>
    <t>Number of datasets available through the web portal</t>
  </si>
  <si>
    <t>Number of (illegal development) breaches recorded</t>
  </si>
  <si>
    <t>Number of persons accessing the GIS data</t>
  </si>
  <si>
    <t>Number of development projects within the following classification of (commercial, dwelling house, advertisement, subdivision)  in compliance with existing laws</t>
  </si>
  <si>
    <t>Number of cases brought against the Planning and Development Authority</t>
  </si>
  <si>
    <t>Number of persons awaiting trial for illegal development contravention (PPU/PDA taking necessary measures to address breaches</t>
  </si>
  <si>
    <t>Number of online hits (Land Info website)</t>
  </si>
  <si>
    <t>PROGRAMME 304: ENVIRONMENTAL MANAGEMENT</t>
  </si>
  <si>
    <t>To formulate policy and implement programmes, to support and ensure the sustainable usage of the natural environment</t>
  </si>
  <si>
    <t>Professional Services and Fees (NEW)</t>
  </si>
  <si>
    <t>Support sustainable environmental management through the enactment and enforcement of comprehensive legislation. [PP3.1]</t>
  </si>
  <si>
    <t>Manage invasive alien species through local initiatives and in collaboration with regional and international partners. [PP3.1]</t>
  </si>
  <si>
    <t>Protect, conserve and manage the sustainable use of biodiversity.[PP3.1]</t>
  </si>
  <si>
    <t>Monitor and service international obligations in relation to the environment and climate change.</t>
  </si>
  <si>
    <t>Provide accurate, timely and relevant advice and information to stakeholders in private, public and civil society sectors. [PP3.1]</t>
  </si>
  <si>
    <t>Strengthen public awareness in environmental, natural resources, climate change and conservation matters, using appropriate media.[PP3.1]</t>
  </si>
  <si>
    <t>Facilitate and assist the management of marine scientific and other research efforts.[PP3.1]</t>
  </si>
  <si>
    <t xml:space="preserve">Extent of the area under protected forest management </t>
  </si>
  <si>
    <t>2,850 ac</t>
  </si>
  <si>
    <t>No. of regulations submitted to Legal Department</t>
  </si>
  <si>
    <t>No. of awareness and promotional materials disseminated</t>
  </si>
  <si>
    <t xml:space="preserve">No. of environmental appraisals, development applications and other environmental matters to which advice is given. </t>
  </si>
  <si>
    <t xml:space="preserve">Percentage of protected forest effectively managed </t>
  </si>
  <si>
    <t>Number of regulations passed</t>
  </si>
  <si>
    <t>Percentage of  key stakeholders aware of environmental, natural resources, climate change and conservation matters</t>
  </si>
  <si>
    <t xml:space="preserve">Percentage of applications processed or advice given with service standard of 3 weeks </t>
  </si>
  <si>
    <t>PROGRAMME 305: HOUSING POLICY &amp; SUPPORT SERVICES</t>
  </si>
  <si>
    <t>To develop and administer housing policies that support the sustainable development of Montserrat and ensure adequate and decent housing for the most vulnerable is achieved through the administration of a transparent social housing registration and allocation mechanism</t>
  </si>
  <si>
    <t>1.Implement comprehensive housing policy and  legislation with emphasis on safeguarding of vulnerable groups. [PP2.7]</t>
  </si>
  <si>
    <t>2.Provide a sanctuary home or homes to safeguard vulnerable children and adolescence against abuse.[PP2.9]</t>
  </si>
  <si>
    <t>3.Expand the social housing stock and implement an appropriate Allocation Policy framework. [PPs 2.7&amp; 2.9]</t>
  </si>
  <si>
    <t>4.Develop and promote child safeguarding by supporting solutions for separation of opposite genders in same households and address overcrowding. [PP2.9]</t>
  </si>
  <si>
    <t>5.Expand access to home ownership for qualified low to middle income residents, to include HOME Programme, Serviced Residential lots and new direct build. [PP 2.6]</t>
  </si>
  <si>
    <t>6.Foster and promote home improvements, to include security against weather and climate change conditions.[PP2.7]</t>
  </si>
  <si>
    <t>7.Provide decent and resilient housing through rehabilitation and regeneration in targeted locations including Lookout, Davy Hill and Shinnlands.[PP 2.7]</t>
  </si>
  <si>
    <t>8. Acquire lands and facilitate public-private partnerships that lead to the addition of serviced lots to the housing market. [PP2.6]</t>
  </si>
  <si>
    <t>9. Establish and improve sanitary and decent living  standards for private rented properties and promote adherence islandwide. [PP2.6]</t>
  </si>
  <si>
    <t>10. Administer and promote the extension of the provisions for fiscal incentives and access to public-private partnerships.[PP2.6]</t>
  </si>
  <si>
    <t>No of housing legislation  and policies drafted</t>
  </si>
  <si>
    <t>No of new houses added to the social housing stock 
(home construction under the Serviced Residential lots, HOME Programme, and Emergency Social Housing)</t>
  </si>
  <si>
    <t>No of housing incentive grants awarded to construct, complete and upgrade homes</t>
  </si>
  <si>
    <t xml:space="preserve">No of housing applications received, updated and assessed </t>
  </si>
  <si>
    <t xml:space="preserve">Adoption and enactment of Housing Bill and the implementation of housing policies </t>
  </si>
  <si>
    <t>Increase in the number of social housing stock</t>
  </si>
  <si>
    <t>Increase in the number of homes attaining a minimum decent standard</t>
  </si>
  <si>
    <t>PROGRAMME 306: TRADE, INVESTMENT &amp; BUREAU FOR STANDARDS &amp; QUALITY</t>
  </si>
  <si>
    <t>To enhance the competition and quality infrastructure and improve the environment for facilitation and regulation of domestic trade and inward investment</t>
  </si>
  <si>
    <t>Actuals 2013-2014</t>
  </si>
  <si>
    <t>Approved Estimates 2014-2015</t>
  </si>
  <si>
    <t>Revised Estimates 2014-2015</t>
  </si>
  <si>
    <t>Budget Estimates 2015-2016</t>
  </si>
  <si>
    <t>Forward Estimates 2016-2017</t>
  </si>
  <si>
    <t>Forward Estimates 2017-2018</t>
  </si>
  <si>
    <t>Import Licenses</t>
  </si>
  <si>
    <t>PERSONAL EMOLUMENTS</t>
  </si>
  <si>
    <t>Total  Personal Emoluments</t>
  </si>
  <si>
    <t>Inernational Travel &amp; Subsistence</t>
  </si>
  <si>
    <t>Programme Production and Promotion</t>
  </si>
  <si>
    <t>R7</t>
  </si>
  <si>
    <t>R22-16</t>
  </si>
  <si>
    <t>R33-29</t>
  </si>
  <si>
    <t xml:space="preserve">KEY SRATEGIES FOR 2016/17: </t>
  </si>
  <si>
    <t>1. Enhance competition and quality infrastructure, by implementing appropriate legislation. [PPs 1.1 &amp; 1.2]</t>
  </si>
  <si>
    <t>2. Establish and oversee the operations of a Standards Bureau as fundamental for market access and the reduction of technical barriers to trade. [PPs 1.3 &amp; 1.4]</t>
  </si>
  <si>
    <t>3. Strengthen public sensitization through the development and execution of educational and awareness programmes, that outline the social and economic benefits of the national quality infrastructure. [PP 1.3]</t>
  </si>
  <si>
    <t>4. Utilize regional co-operation agreements, to enable effective regional trade and consumer protection. [PPs 1.2 &amp; 1.3]</t>
  </si>
  <si>
    <t>5. Create an enabling environment for business competitiveness, through the establishment of national or adaptation of regional programmes and policies.[PP 1.3]</t>
  </si>
  <si>
    <t>No of fuel dispensers calibrated at the local fuel stations.</t>
  </si>
  <si>
    <t>No of baggage scales calibrated for each airline operator.</t>
  </si>
  <si>
    <t>Regulation of prices of essential petroleum products.</t>
  </si>
  <si>
    <t>No of public awareness activities/seminars on earmarked days for quality infrastructure components.</t>
  </si>
  <si>
    <t>Passage of quality  legislation and development of trade policy.</t>
  </si>
  <si>
    <t>No of fiscal incentives processed for domestic and inward investors and business owners.</t>
  </si>
  <si>
    <t>TOTAL VOTE 30</t>
  </si>
  <si>
    <t>VOTE:  MINISTRY OF COMMUNICATIONS, WORKS &amp; LABOUR – SUMMARY</t>
  </si>
  <si>
    <t>Ministry Headquarters, Public Works Department, Mechanical Workshop, Airport and the Labour Office -</t>
  </si>
  <si>
    <t>Thirty-two million, eight hundred thousand, three hundred dollars</t>
  </si>
  <si>
    <t xml:space="preserve">Enhanced human development and improved quality  of life for all people on Montserrat </t>
  </si>
  <si>
    <t>Natural and heritage resources conserved through environmentally sustainable development and appropriate strategies for diaster mitigation</t>
  </si>
  <si>
    <t>An efficient, responsive and accountable system of Governance and Public Service</t>
  </si>
  <si>
    <t xml:space="preserve">A vibrant and diverse economy that supports sustainable private sectoral economic activity and generates employment; </t>
  </si>
  <si>
    <t>Improve energy security;</t>
  </si>
  <si>
    <t>Physical infrastructure and transportaiton ficilities in place to support development</t>
  </si>
  <si>
    <t>To be an excellent organization recognized as a model for the region, within a harmonious environment.</t>
  </si>
  <si>
    <t>The Ministry of Communication, Works and Labour (MCWL) is mandated to promote the goals and objectives of Government of Montserrat; by ensuring the enhancement of the quality of life for its residents through delivery of cost effective, safe, reliable and sustainable projects, programmes and quality services in the Communications, Labour, Infrastructure and Access Sectors.</t>
  </si>
  <si>
    <t>Infrastructure Services</t>
  </si>
  <si>
    <t>Plant Hire &amp; Mechanical Spares</t>
  </si>
  <si>
    <t>Airport Management &amp; Operation</t>
  </si>
  <si>
    <t>Industrial Relations &amp; Employment Services</t>
  </si>
  <si>
    <t>TOTAL REVENUE VOTE 35</t>
  </si>
  <si>
    <t>TOTAL EXPENDITURE VOTE 35</t>
  </si>
  <si>
    <t>PROGRAMME 350:  STRATEGIC MANAGEMENT &amp; ADMINSTRATION</t>
  </si>
  <si>
    <t>To provide policy, planning and administrative support to all Departments, Divisions and Units as well as oversight of agencies: MICA, MUL, Port and Access</t>
  </si>
  <si>
    <t xml:space="preserve">Motor Vehicle Licenses     </t>
  </si>
  <si>
    <t xml:space="preserve">Telecom. Licenses             </t>
  </si>
  <si>
    <t xml:space="preserve">Cable TV Licenses             </t>
  </si>
  <si>
    <t>Int'l Communication</t>
  </si>
  <si>
    <t>Royalties: Internet Domain</t>
  </si>
  <si>
    <t>Rents, Interests, Dividends</t>
  </si>
  <si>
    <t>Sale of Unallocated Stores</t>
  </si>
  <si>
    <t>Minor  Works</t>
  </si>
  <si>
    <t>3508071A</t>
  </si>
  <si>
    <t>Geothermal Exploration</t>
  </si>
  <si>
    <t>3509073A</t>
  </si>
  <si>
    <t>Access Transport Coordinator</t>
  </si>
  <si>
    <t>3509074A</t>
  </si>
  <si>
    <t>Road Refurbishing Project</t>
  </si>
  <si>
    <t>3510076A</t>
  </si>
  <si>
    <t>Support to Public Works Strategic Development</t>
  </si>
  <si>
    <t>3511078A</t>
  </si>
  <si>
    <t>Aeronautical Project</t>
  </si>
  <si>
    <t>3515079A</t>
  </si>
  <si>
    <t>Energy</t>
  </si>
  <si>
    <t>3515080A</t>
  </si>
  <si>
    <t>Ferry Terminal Upgrade</t>
  </si>
  <si>
    <t>3516090A</t>
  </si>
  <si>
    <t>Water Supply Infrastructure Upgrade</t>
  </si>
  <si>
    <t>3516092A</t>
  </si>
  <si>
    <t xml:space="preserve">Liquid Waste Management </t>
  </si>
  <si>
    <t>3516098A</t>
  </si>
  <si>
    <t>Sea Defences</t>
  </si>
  <si>
    <t>3516088A</t>
  </si>
  <si>
    <t>Roads &amp; Bridges</t>
  </si>
  <si>
    <t>3516089A</t>
  </si>
  <si>
    <t>Electricity Distribution Network Upgrade</t>
  </si>
  <si>
    <t>Implement Cabinet decisions to foster good governance within the ministry. (4.1)</t>
  </si>
  <si>
    <t>Expand administration of the licensing requirements in accordance with the Road Traffic Act to improve road safety through assurances of roadworthiness. (4.2)</t>
  </si>
  <si>
    <t>Maintain compliance with the Public Financial Management Accountability Act to ensure value for money. (4.1)</t>
  </si>
  <si>
    <t>Implementation of the National Information Communication Technology Policy and Plan to encourage ICT culture and advance economic growth and development (1.1, 1.3)</t>
  </si>
  <si>
    <t>Administer Human Resources Development and Management within the Ministry to enhance human development and build human capacity to ensure efficient delivery of its mandate (4.2)</t>
  </si>
  <si>
    <t>Put in place legislative, regulatory and institutional framework for renewable energy and more specifically geothermal energy. (3.1)</t>
  </si>
  <si>
    <t>Provide representation for GoM on boards governing the following entities: Port Authority, Montserrat Utility Limited, Montserrat Info-Communication Authority (4.1)</t>
  </si>
  <si>
    <t>Facilitate the improvement of access through the upgrade the Montserrat Ferry Services, online booking system, acquisition of a new ferry, improve the associated built environment &amp;  re-introduction of Twin Otter Services. (1.1, 1.3)</t>
  </si>
  <si>
    <t>No. of /Cabinet Memorandum submitted for approval</t>
  </si>
  <si>
    <t>No. of days to process payments/ documents</t>
  </si>
  <si>
    <t>No of training  implemented for capacity development</t>
  </si>
  <si>
    <t>% of recommendations implemented</t>
  </si>
  <si>
    <t>Level of satisfaction of Ministers/Cabinet  with policy advice provided</t>
  </si>
  <si>
    <t>Level of satisfaction of agency staff  with support services provided</t>
  </si>
  <si>
    <t>Average time to process invoice</t>
  </si>
  <si>
    <t>PROGRAMME 351: INFRASTRUCTURE SERVICES</t>
  </si>
  <si>
    <t>To design, build and maintain Montserrat's public infrastructure and management of the national’s infrastructural assets</t>
  </si>
  <si>
    <t>Hot Mix Plant Operation</t>
  </si>
  <si>
    <t>Pursue financing for infrastructure development plan in accordance with the Physical Development Plan 2012 - 2022  and MCWL Infrastructure Review Document 2014 (1.3, 1.4)</t>
  </si>
  <si>
    <t>Develop a new approach to building maintenance programme to preserve public infrastructure assets. (1.4, 4.1)</t>
  </si>
  <si>
    <t>Implement road construction and maintenance project and programmes to increase public safety, economic development, commerce, and preserve public infrastructure assets. (1.4, 1.5, 4.1)</t>
  </si>
  <si>
    <t>Explore and seek funding for development of renewable energy resources. (3.1)</t>
  </si>
  <si>
    <t>No. of business case developed for infrastructure development funding</t>
  </si>
  <si>
    <t>No. of road maintenance projects completed</t>
  </si>
  <si>
    <t>No. of public buildings maintenance project completed</t>
  </si>
  <si>
    <t>No. of capital projects approved &amp; in progress.</t>
  </si>
  <si>
    <t>% of infrastructure projects developed, financed and completed.</t>
  </si>
  <si>
    <t> 80</t>
  </si>
  <si>
    <t> 85</t>
  </si>
  <si>
    <t>% of maintenance projects completed.</t>
  </si>
  <si>
    <t> 90</t>
  </si>
  <si>
    <t>PROGRAMME 352: PLANT HIRE &amp; MECHANICAL SPARES</t>
  </si>
  <si>
    <t xml:space="preserve">To provide plant hire and mechanical services to the public and private </t>
  </si>
  <si>
    <t>PWD Laboratory</t>
  </si>
  <si>
    <t>Mechanical Spares</t>
  </si>
  <si>
    <t>Plant &amp; Workshop</t>
  </si>
  <si>
    <t>Expand and operationalize systems and plans for a more cost effective and efficient operation of the PWD workshop (4.1)</t>
  </si>
  <si>
    <t>Implement systems for the management of Government of Montserrat’s Fleet (4.1)</t>
  </si>
  <si>
    <t>No. of vehicles maintained</t>
  </si>
  <si>
    <t>Average annual hours of Plant hire utilization</t>
  </si>
  <si>
    <t> 7300</t>
  </si>
  <si>
    <t> 7800</t>
  </si>
  <si>
    <t> 8400</t>
  </si>
  <si>
    <t>Average Annual revenue</t>
  </si>
  <si>
    <t>480K</t>
  </si>
  <si>
    <t>512K</t>
  </si>
  <si>
    <t>565K</t>
  </si>
  <si>
    <t>580K</t>
  </si>
  <si>
    <t>600K</t>
  </si>
  <si>
    <t>% Plant utilization rate.</t>
  </si>
  <si>
    <t> 22</t>
  </si>
  <si>
    <t> 29</t>
  </si>
  <si>
    <t> 32</t>
  </si>
  <si>
    <t>% Plant mechanical down time</t>
  </si>
  <si>
    <t>% of costs recovered through hire charges</t>
  </si>
  <si>
    <t>PROGRAMME 353: AIRPORT MANAGEMENT &amp; OPERATION</t>
  </si>
  <si>
    <t>To ensure safe, reliable and affordable air access</t>
  </si>
  <si>
    <t>Aircraft Landing Charges</t>
  </si>
  <si>
    <t>Airport Security Charge</t>
  </si>
  <si>
    <t>Scenic Flights</t>
  </si>
  <si>
    <t>Concessions Rental- Airport</t>
  </si>
  <si>
    <t>Navigational Charges</t>
  </si>
  <si>
    <t>Improve general airport security to comply with international standards via CCTV cameras and Explosive Trace Detector at Airport.</t>
  </si>
  <si>
    <t>Meet Safety &amp; Security Regulatory Requirements in order to maintain the currency of the aerodrome certificate by conducting periodic reviews all Airport Manuals and Procedures.</t>
  </si>
  <si>
    <t>Implementing internal quality control systems through engaging in regular internal airport audits to improve operating standards and in preparation for regulatory audits and inspections.</t>
  </si>
  <si>
    <t>Improve Airport Facility; seek funding to undertake the expansion of the ramp or parking apron, construction of second garage for fire trucks and housing for service/utility vehicle by 30 April 2017).</t>
  </si>
  <si>
    <t xml:space="preserve">Improve the level of Airport Utilization. (Night Operations certification revised Target now 30th April 2018). </t>
  </si>
  <si>
    <t>Facilities upgrade to encourage good customer service via upgrade of the Airport Terminal Building to cater for a new Control Tower and Administration Block along with provisions for VIP facilities and the creation of more commercial space for a proper restaurant and retail business.</t>
  </si>
  <si>
    <t>Improving the environment aesthetics of the airport compound and introduce an addition revenue stream through a Public Car Park Upgrade.</t>
  </si>
  <si>
    <t>Extension of the airport property and make the airport more user friendly. Making a case for the acquisition of land north of the existing car park to create a modern commercial park with covered walk ways leading to the airport terminal building. This envisages the transformation of the area in question which has definitely outgrown its “temporary” status after more than 10 years).</t>
  </si>
  <si>
    <t>No. of flights</t>
  </si>
  <si>
    <t>No. of passenger movements</t>
  </si>
  <si>
    <t>Average delay in departure/landing  (Hours)</t>
  </si>
  <si>
    <t xml:space="preserve">No. of days airport is not operational </t>
  </si>
  <si>
    <t>PROGRAMME 355: INDUSTRIAL RELATIONS &amp; EMPLOYMENT SERVICES</t>
  </si>
  <si>
    <t xml:space="preserve">To promote a safe, fair and harmonious working environment </t>
  </si>
  <si>
    <t xml:space="preserve">Work Permit Fees                </t>
  </si>
  <si>
    <t xml:space="preserve">Printing &amp; Binding </t>
  </si>
  <si>
    <t xml:space="preserve">Sundry Expenses </t>
  </si>
  <si>
    <t>Modern and equitable labour laws, policies and practices in place (1.3, 1.5, 4.1)</t>
  </si>
  <si>
    <t>User friendly version/Prepare a concise version of the Labour Code – to encourage more compliance with the labour Code (printed &amp; Soft copy.) (1.3, 1.5, 4.1)</t>
  </si>
  <si>
    <t>Develop educational programs to fill the short term needs identified in the Labour Market Needs Assessment and Survey and implementation of the LMNA&amp;S (1.3, 1.5)</t>
  </si>
  <si>
    <t>Advance Workplace Health and Safety awareness within the Public and Private Sector.*** ****Promotion of Occupational health and Safety Aspect of the Labour Code. (2.2)</t>
  </si>
  <si>
    <t>No. of (Labour related complaints) cases reported to the Department</t>
  </si>
  <si>
    <t>No. of workplaces inspections</t>
  </si>
  <si>
    <t>No. of health care awareness campaigns conducted</t>
  </si>
  <si>
    <t> 15</t>
  </si>
  <si>
    <t>% resolution for cases submitted  to the Department (resolved)</t>
  </si>
  <si>
    <t>% Workplaces inspections completed (compliance)</t>
  </si>
  <si>
    <t>% of health care awareness campaigns completed. (worker awareness)</t>
  </si>
  <si>
    <t>TOTAL VOTE 35</t>
  </si>
  <si>
    <t>VOTE:  MINISTRY OF EDUCATION, YOUTH AFFAIRS &amp; SPORTS – SUMMARY</t>
  </si>
  <si>
    <t>Office the Minister, Education, and Library, Community Development, Youth Affairs and Sports -</t>
  </si>
  <si>
    <t>Ten million, eight hundred sevety-seven thousand three hundred dollars</t>
  </si>
  <si>
    <t>Leadership and Management: Excellence for all students, achieved by effective education leadership and management at Ministry and school levels</t>
  </si>
  <si>
    <t>Teaching Standards: Teaching shows continuous improvement as determined by quality assurance mechanisms</t>
  </si>
  <si>
    <t>Curriculum Reform: Learning, teaching and assessment are planned effectively against a coherent and relevant curriculum that focuses on progression in learning outcomes for each level of education</t>
  </si>
  <si>
    <t>The Teaching learning Environment: A modern, enriching, child centred  learning community, with a nurturing teaching and learning environment, created to respond to the changing and diverse school population</t>
  </si>
  <si>
    <t>Education Partnership: Partnerships and involvement with parents and other stakeholders strengthened, to determine goals and provide resources for the delivery of educational services and programmes</t>
  </si>
  <si>
    <t>An education system that effectively supports social and economic development, creating citizens who are globally competitive</t>
  </si>
  <si>
    <t>Effective social protection to enhance the well-being of the vulnerable population</t>
  </si>
  <si>
    <t>Developing the ideal Montserrat citizen.</t>
  </si>
  <si>
    <t>To focus relentlessly on raising standards in learning and teaching so that students will be successful in the knowledge, functional skills and understandings, essential to the pursuit of their career aspirations. Students will possess the values, attitudes and behaviours which will enable them to choose healthy and fulfilled lives; make a positive contribution to society and national development; and adapt to a constantly changing local and global environment.</t>
  </si>
  <si>
    <t>Primary Education</t>
  </si>
  <si>
    <t>Secondary Education</t>
  </si>
  <si>
    <t>Library &amp; Information Services</t>
  </si>
  <si>
    <t>Early Childhood Education</t>
  </si>
  <si>
    <t>Youth Affairs &amp; Sports</t>
  </si>
  <si>
    <t>TOTAL REVENUE VOTE 40</t>
  </si>
  <si>
    <t>TOTAL EXPENDITURE VOTE 40</t>
  </si>
  <si>
    <t>PROGRAMME 400:  STRATEGIC MANAGEMENT &amp; ADMINSTRATION</t>
  </si>
  <si>
    <t xml:space="preserve">To provide strategic direction and portfolio management services in support of education policy and programmes implementation </t>
  </si>
  <si>
    <t xml:space="preserve">Student Permit Fees              </t>
  </si>
  <si>
    <t xml:space="preserve">Universities &amp; Colleges     </t>
  </si>
  <si>
    <t>Miscellaneous Rents, Interest, Dividends</t>
  </si>
  <si>
    <t xml:space="preserve">Nursery School Receipts  </t>
  </si>
  <si>
    <t>School Bus Repayments</t>
  </si>
  <si>
    <t xml:space="preserve">School Bus Receipts          </t>
  </si>
  <si>
    <t xml:space="preserve">School Feeding                    </t>
  </si>
  <si>
    <t>Library</t>
  </si>
  <si>
    <t>4010006A</t>
  </si>
  <si>
    <t>UNICEF</t>
  </si>
  <si>
    <t>Early Childhood Devlopment</t>
  </si>
  <si>
    <t>4012009A</t>
  </si>
  <si>
    <t>CDB</t>
  </si>
  <si>
    <t xml:space="preserve"> Teacher Enhancement Project</t>
  </si>
  <si>
    <t>4016087A</t>
  </si>
  <si>
    <t>Montserrat Secondary School (MSS) Rehabilitation</t>
  </si>
  <si>
    <t>To embed performance management system at the organisational and individual levels towards improving governance in the public service. See 4.1 and 4.2 of GoM Policy Agenda 2016/17</t>
  </si>
  <si>
    <t>To manage the available resources so that the country gets maximum value for the money expended. This is in support of the Policy Agenda 2016/17  #4.1 and 4.2</t>
  </si>
  <si>
    <r>
      <rPr>
        <sz val="8"/>
        <color rgb="FF000000"/>
        <rFont val="Arial"/>
        <family val="2"/>
      </rPr>
      <t xml:space="preserve">*To </t>
    </r>
    <r>
      <rPr>
        <sz val="8"/>
        <color theme="1"/>
        <rFont val="Arial"/>
        <family val="2"/>
      </rPr>
      <t xml:space="preserve">build capacity for the use of ICT for teaching and learning and for management in all of our schools. This supports </t>
    </r>
    <r>
      <rPr>
        <sz val="8"/>
        <color rgb="FF000000"/>
        <rFont val="Arial"/>
        <family val="2"/>
      </rPr>
      <t>Policy Agenda 2016/17 #4.1 and 4.2 as well as 2.4 and 2.9. (to be jointly funded by BNTF and GoM)</t>
    </r>
  </si>
  <si>
    <t xml:space="preserve"> *Ensure that teaching and learning are driven by well-articulated curricula which is an essential prerequisite to achieve Policy Agenda 2016/17 #2.4</t>
  </si>
  <si>
    <t>Provide improved accommodation (building, furniture and equipment) to the Ministry to enhance the delivery of services to the public. This is in line with 4.1 under Governance of the Policy Agenda 2016/17 in terms serving the public well. However this is to be funded from the Deputy Governor’s budget.</t>
  </si>
  <si>
    <t>% of new curriculum documents agreed and placed in use in both primary and secondary</t>
  </si>
  <si>
    <t> 66%</t>
  </si>
  <si>
    <t> 74%</t>
  </si>
  <si>
    <t> *100%</t>
  </si>
  <si>
    <t>No of computers in schools for pupil use</t>
  </si>
  <si>
    <t>Secondary 56
Primary 0</t>
  </si>
  <si>
    <t>Secondary 70
Primary 36</t>
  </si>
  <si>
    <t>Secondary 76
Primary 43</t>
  </si>
  <si>
    <t>proportion of subjects at MSS for which curriculum exist in lower school</t>
  </si>
  <si>
    <t> 35%</t>
  </si>
  <si>
    <t xml:space="preserve"> the ratio of computers to pupils</t>
  </si>
  <si>
    <t>Secondary 0.16
Primary 0</t>
  </si>
  <si>
    <t>Secondary 0.21
Primary 0.13</t>
  </si>
  <si>
    <t>Secondary 0.23
Primary 0.15</t>
  </si>
  <si>
    <t>Secondary 0.24
Primary 0.16</t>
  </si>
  <si>
    <t>No. of subjects offered to all candidates</t>
  </si>
  <si>
    <t>CSEC 23
CAPE 18</t>
  </si>
  <si>
    <t>CSEC 24
CAPE 23</t>
  </si>
  <si>
    <t>CSEC 25
CAPE 24</t>
  </si>
  <si>
    <t>CSEC 25
CAPE 25</t>
  </si>
  <si>
    <t>CSEC 26
CAPE 28</t>
  </si>
  <si>
    <t>pass rate (passes/units sat) of MCC students by programme classification</t>
  </si>
  <si>
    <t>PROGRAMME 401: PRIMARY EDUCATION</t>
  </si>
  <si>
    <t>To provide holistic education in a manner that meets the learning needs of the  child, so as to provide a solid foundation for secondary education</t>
  </si>
  <si>
    <t>To provide holistic education for children ages 5-11+ to enable them to access secondary education.</t>
  </si>
  <si>
    <t>To ensure that sound planning and reporting mechanisms are embedded in school operations. This is in support of GoM Policy Agenda 2016/17:  #2.4, #2.8, #2.9, #4.1 #4.2, #4.3 w.r.t. good governance</t>
  </si>
  <si>
    <t>To apply sound performance management principles with respect to teachers. This strategy is in support of GoM Policy Agenda 2016/17: #2.4, #2.8, #2.9, #4.1 #4.2, #4.3 w.r.t. good governance</t>
  </si>
  <si>
    <t>*To create the facilitating environment for teachers to effectively use ICT to improve the learning experiences of pupils. This strategy is in support of GoM Policy Agenda 2016/17: Human Development #2.4, #2.8, #4.2</t>
  </si>
  <si>
    <t>No of students enrolled</t>
  </si>
  <si>
    <t>No of school days per academic year</t>
  </si>
  <si>
    <t> 190</t>
  </si>
  <si>
    <t> 195</t>
  </si>
  <si>
    <t> 194</t>
  </si>
  <si>
    <t> 193</t>
  </si>
  <si>
    <t> 191</t>
  </si>
  <si>
    <t>National average in Math and Language Arts Grade 3 and Grade 5 assessments</t>
  </si>
  <si>
    <r>
      <t>G3 M 56%
G5 M 55%
G3 LA 54%
G5 LA 58</t>
    </r>
    <r>
      <rPr>
        <sz val="7"/>
        <color theme="1"/>
        <rFont val="Arial"/>
        <family val="2"/>
      </rPr>
      <t>.7%</t>
    </r>
  </si>
  <si>
    <t>G3 M 55%
G5 M 56%
G3 LA 56%
G5 LA 61%</t>
  </si>
  <si>
    <t>G3 M 58%
G5 M 57%
G3 LA 58%
G5 LA 59%</t>
  </si>
  <si>
    <t>G3 M 60%
G5 M 59%
G3 LA 57%
G5 LA 57%</t>
  </si>
  <si>
    <t>G3 M 64%
G5 M 55%
G3 LA 56%
G5 LA 62%</t>
  </si>
  <si>
    <t>PROGRAMME 402: SECONDARY EDUCATION</t>
  </si>
  <si>
    <t>To provide students ages 11 to under 17 with the knowledge, skills and attitudes, to gain access to continued education and/or work</t>
  </si>
  <si>
    <t>To provide appropriate learning experiences which prepare young persons for the world of work or to access tertiary education opportunities.</t>
  </si>
  <si>
    <t>Grants and Contribution</t>
  </si>
  <si>
    <t xml:space="preserve">To improve teaching by implementing appropriate performance management initiatives. This element supports GoM Policy Agenda 2016/17: 4.1 and 4.2.  </t>
  </si>
  <si>
    <t>To review and adjust lower school curriculum in core subject areas. In order to deliver on GoM Policy Agenda 2016/17: 2.4, this element of the strategy is a necessary prerequisite</t>
  </si>
  <si>
    <t>To develop and implement a comprehensive whole school behaviour management strategy. This is a necessary element to deliver on GoM Policy Agenda 2016/17: #2.4, #2.8 and #2.9</t>
  </si>
  <si>
    <t>To provide appropriate learning interventions to struggling students. This is unfortunately necessary in order to deliver on GoM Policy Agenda 2016/17: #2.4</t>
  </si>
  <si>
    <t>Implement a crop production course leading to the granting of CVQs by CXC (to be funded by BNTF). This is in support of Policy Agenda 2016/17 #2.4 specifically but it also supports in a more tangential way #1.1, #1.2, #1.3 as having acquired the skills young people can then engage in business ventures directly on in related areas. #22 is relevant as it predicts that young people having gained new skills will contribute to producing fresh vegetables for the tables of local people thus contributing to a more healthy diet.</t>
  </si>
  <si>
    <t>No. of students enrolled</t>
  </si>
  <si>
    <t> 345</t>
  </si>
  <si>
    <t> 340</t>
  </si>
  <si>
    <t> 330</t>
  </si>
  <si>
    <t> 325</t>
  </si>
  <si>
    <t> 320</t>
  </si>
  <si>
    <t>Number of students in Lower Education Achievement Program 1 and 2 (LEAP)</t>
  </si>
  <si>
    <t>TBC</t>
  </si>
  <si>
    <t>% of final year cohort of students with passes in 5 CSEC's or equivalent, including Math &amp; English</t>
  </si>
  <si>
    <t> 42%</t>
  </si>
  <si>
    <t> 37%</t>
  </si>
  <si>
    <t> 39%</t>
  </si>
  <si>
    <t> 40%</t>
  </si>
  <si>
    <t>% of trained primary and secondary teachers</t>
  </si>
  <si>
    <t>*91%</t>
  </si>
  <si>
    <t>PROGRAMME 403: LIBRARY &amp; INFORMATION SERVICES</t>
  </si>
  <si>
    <t>To provide library and information services to people of all ages, encouraging lifelong learning, in addition to preserving and promoting national identity</t>
  </si>
  <si>
    <t>To advance lifelong learning by implementing Adult Reading &amp; Computer Literacy Programmes: This is supported by #2.4 of the Policy Agenda 2016/17;</t>
  </si>
  <si>
    <t>To establish an electronic database to the library to aid tertiary students conducting research. This supports policy agenda item 2.4;</t>
  </si>
  <si>
    <t xml:space="preserve">To develop and implement a primary  school outreach programme as supported by #2.8 of the Policy Agenda; </t>
  </si>
  <si>
    <t>To develop and implement training/learning programmes to assist those who are aspiring authors and business owners as supported by policy agenda #2.4.</t>
  </si>
  <si>
    <t>Provide adequate accommodation for patrons and staff of the public library. This strategy is supported by #2.4 of the policy agenda (providing resources which encourage the use of the library and thus increase literacy rate) as well as by #4.2 which speaks of delivering high quality service to the public.</t>
  </si>
  <si>
    <t>No. of persons enrolled in literacy programmes</t>
  </si>
  <si>
    <t>8-10 </t>
  </si>
  <si>
    <t> 10-15</t>
  </si>
  <si>
    <t> 15-20</t>
  </si>
  <si>
    <t>No. of materials circulated</t>
  </si>
  <si>
    <t>% participation rate of literacy programmes</t>
  </si>
  <si>
    <t> 100</t>
  </si>
  <si>
    <t>% of population who are library patrons</t>
  </si>
  <si>
    <t>PROGRAMME 404: EARLY CHILDHOOD EDUCATION</t>
  </si>
  <si>
    <t xml:space="preserve">To provide access to developmentally appropriate early childhood care and education to pre-primary aged children </t>
  </si>
  <si>
    <t>To train practitioners to provide appropriate early stimulation and readiness skills. This item supports GoM Policy Agenda 2016/17: #2.4</t>
  </si>
  <si>
    <t xml:space="preserve">To observe and monitor early stimulation techniques. This item supports GoM Policy Agenda 2016/17: #2.4 </t>
  </si>
  <si>
    <t>To conduct public awareness programmes on Early Childhood Education Policy and Standards. GoM Policy Agenda 2016/17 provides the basis for this strategic action</t>
  </si>
  <si>
    <t>No. of children enrolled by category (public centres)</t>
  </si>
  <si>
    <t>NURSERY
M – 39 
F – 61 
DC
M – 26 
F – 23</t>
  </si>
  <si>
    <t>NURSERY
M – 37 
F – 39 
DC
M – 22 
F – 28</t>
  </si>
  <si>
    <t>NURSERY
M – 40 
F – 40 
DC
M – 25 
F – 25</t>
  </si>
  <si>
    <t>NURSERY
M – 42 
F – 43 
DC
M – 27 
F – 28</t>
  </si>
  <si>
    <t>NURSERY
M – 45 
F – 45 
DC
M – 29 
F – 31</t>
  </si>
  <si>
    <t>Number of days opened to deliver service (public centres)</t>
  </si>
  <si>
    <t>N – 190         DC – 194</t>
  </si>
  <si>
    <t>N – 191         DC – 195</t>
  </si>
  <si>
    <t>N – 189             DC – 193</t>
  </si>
  <si>
    <t>N – 190             DC – 194</t>
  </si>
  <si>
    <t>N – 191             DC – 195</t>
  </si>
  <si>
    <t>% of  children achieving pre-primary readiness skills</t>
  </si>
  <si>
    <t> 83%</t>
  </si>
  <si>
    <t>85% </t>
  </si>
  <si>
    <t>87% </t>
  </si>
  <si>
    <t>88% </t>
  </si>
  <si>
    <t>90% </t>
  </si>
  <si>
    <t>PROGRAMME 406: YOUTH AFFAIRS &amp; SPORTS</t>
  </si>
  <si>
    <t>Creating and maintaining an enabling environment for all our young people and the wider community, while maximizing the benefits, health and otherwise of policies, programs and projects from government and our social partners.</t>
  </si>
  <si>
    <t>Annual Summer Workshop Receipts</t>
  </si>
  <si>
    <t xml:space="preserve">220  </t>
  </si>
  <si>
    <t xml:space="preserve">Local Travel                       </t>
  </si>
  <si>
    <t xml:space="preserve">222  </t>
  </si>
  <si>
    <t xml:space="preserve">International Travel &amp; Subsistence </t>
  </si>
  <si>
    <t xml:space="preserve">224  </t>
  </si>
  <si>
    <t xml:space="preserve">Utilities                          </t>
  </si>
  <si>
    <t xml:space="preserve">226  </t>
  </si>
  <si>
    <t xml:space="preserve">Communication Expenses             </t>
  </si>
  <si>
    <t xml:space="preserve">228  </t>
  </si>
  <si>
    <t xml:space="preserve">Supplies &amp; Materials               </t>
  </si>
  <si>
    <t xml:space="preserve">229  </t>
  </si>
  <si>
    <t xml:space="preserve">Furniture Equipment and Resources  </t>
  </si>
  <si>
    <t xml:space="preserve">232  </t>
  </si>
  <si>
    <t xml:space="preserve">Maintenance Services               </t>
  </si>
  <si>
    <t xml:space="preserve">234  </t>
  </si>
  <si>
    <t xml:space="preserve">Rental of Assets                   </t>
  </si>
  <si>
    <t xml:space="preserve">246  </t>
  </si>
  <si>
    <t xml:space="preserve">Printing &amp; Binding                 </t>
  </si>
  <si>
    <t xml:space="preserve">260  </t>
  </si>
  <si>
    <t xml:space="preserve">Grants &amp; Contributions             </t>
  </si>
  <si>
    <t xml:space="preserve">261  </t>
  </si>
  <si>
    <t xml:space="preserve">Subventions                        </t>
  </si>
  <si>
    <t xml:space="preserve">275  </t>
  </si>
  <si>
    <t xml:space="preserve">Sundry Expenses                    </t>
  </si>
  <si>
    <t xml:space="preserve">280  </t>
  </si>
  <si>
    <t xml:space="preserve">Programme Production &amp; Promotion   </t>
  </si>
  <si>
    <t>Review/Develop and implement Youth Development Programs to better equip youth to gain employment and become successful adults. This element of the program is supported by 2.8 and 2.9 of the Policy Agenda 2016/17;</t>
  </si>
  <si>
    <t>*Provide support to community organisations and sporting bodies which promote sporting and youth activities to help them to promote the adoption of healthy lifestyles by youths, to youth engaged in community and social activities and to promote regional and international sporting competitions; the authority to engage in these activities is provided by policy agenda 2016/17 specifically 1.1, 1.2, 1.6, and 2.8.</t>
  </si>
  <si>
    <t>Provide expanded/additional and enhanced sporting facilities and to maintain those sporting facilities which already exist; this is supported by policy agenda item 2.8.</t>
  </si>
  <si>
    <t>To provide adequate materials, equipment and supplies for the effective delivery of youth &amp; sports programs. This is supported by policy agenda item 2.8.</t>
  </si>
  <si>
    <t>No. of young persons who have completed the training on the HYPE program</t>
  </si>
  <si>
    <t> 24</t>
  </si>
  <si>
    <t> 28</t>
  </si>
  <si>
    <t>No. of sports supported</t>
  </si>
  <si>
    <t>No. of females involved in sports</t>
  </si>
  <si>
    <t>Number of non-school sporting competitions supported</t>
  </si>
  <si>
    <t>No. of young people who have gained employment within a year of completing the HYPE training</t>
  </si>
  <si>
    <t>No. of sporting competitions in which Montserrat fielded teams</t>
  </si>
  <si>
    <t>TOTAL VOTE 40</t>
  </si>
  <si>
    <t>VOTE:  MINISTRY OF HEALTH &amp; SOCIAL SERVICES – SUMMARY</t>
  </si>
  <si>
    <t>Ministry of Health and Social Services -Twenty-one million seven hundred, forty-three thousand five hundred dollars</t>
  </si>
  <si>
    <t>Permanent Secretary MHSS</t>
  </si>
  <si>
    <t>Enhanced human development and improved quality of life for all the people on Montserrat</t>
  </si>
  <si>
    <t>An enviroment that fosters prudent economic management, sustained growth, a diversified economy and the generation of employment</t>
  </si>
  <si>
    <t>A Healthy population with full access to required healthcare</t>
  </si>
  <si>
    <t>Effective Social protection to enhance the well-being of the vulnerable population</t>
  </si>
  <si>
    <t xml:space="preserve">The Ministry of Health &amp; Social Services’ Vision is to be recognized as a national health &amp; social care provider that enhances personal responsibility for self-care and the quality of life of people living on Montserrat. </t>
  </si>
  <si>
    <t>To promote health and well-being by empowering individuals as well as communities and assuring access to quality preventative, curative and rehabilitative health and social care services in partnership with other stakeholders.</t>
  </si>
  <si>
    <t>Priamry Healthcare</t>
  </si>
  <si>
    <t>Secondary Healthcare</t>
  </si>
  <si>
    <t>Social Services</t>
  </si>
  <si>
    <t>Environmental Health Services</t>
  </si>
  <si>
    <t>TOTAL REVENUE VOTE 45</t>
  </si>
  <si>
    <t>TOTAL EXPENDITURE VOTE 45</t>
  </si>
  <si>
    <t>PROGRAMME 450:  STRATEGIC MANAGEMENT &amp; ADMINSTRATION</t>
  </si>
  <si>
    <t>To provide strategic policy direction, financial management and administrative services to support the efficient and effective operation of the Ministry Programs</t>
  </si>
  <si>
    <t xml:space="preserve">Cemetery Dues </t>
  </si>
  <si>
    <t xml:space="preserve">Hospital Receipts                </t>
  </si>
  <si>
    <t>Health Promotion</t>
  </si>
  <si>
    <t>4515044A</t>
  </si>
  <si>
    <t>Child Safeguarding and Protection</t>
  </si>
  <si>
    <t>4516091A</t>
  </si>
  <si>
    <t>Solid Waste Management</t>
  </si>
  <si>
    <t>Support and facilitate the provision of adequate human resources to deliver the mandate of the MoHSS by collaborating with Ministry Programme areas and other key stakeholders. [2.1, 2,2, 4.2]</t>
  </si>
  <si>
    <t>Provide prudent financial oversight of the resources allocated in the budget in each Programme area. [4.2]</t>
  </si>
  <si>
    <t>Support Cabinet in the development of evidence-based policies through the efficient research, drafting &amp; submission of Cabinet Papers. [2.1, 4.2]</t>
  </si>
  <si>
    <t>Continue to monitor the effectiveness of programmes &amp; interventions implemented as well as the impact of training opportunities provided to staff in all Programmes within the Ministry of Health &amp; Social Services. [2.1, 4.2]</t>
  </si>
  <si>
    <t>Manage the maintenance schedule of the Ministry’s plant, equipment and assets, thereby retaining them in a state to provide efficient service and longevity of  operational life.  [2.1, 4.2]</t>
  </si>
  <si>
    <t>% of staff with agreed PDAs by the stipulated deadline</t>
  </si>
  <si>
    <t>Number of Learning &amp; Development initiatives undertaken during the year</t>
  </si>
  <si>
    <t>Short Term  =3
Long Term = 3
In-service = 25</t>
  </si>
  <si>
    <t>At least one in-service per month</t>
  </si>
  <si>
    <t>Number of identified needs for which Cabinet/Policy documents are prepared and submitted</t>
  </si>
  <si>
    <t xml:space="preserve">Registration = 11
Policy = 12
</t>
  </si>
  <si>
    <t>Registration = 7
at end of Sept</t>
  </si>
  <si>
    <t>% of prioritised maintenance issues addressed per year</t>
  </si>
  <si>
    <t>New Indicator</t>
  </si>
  <si>
    <t>Number of documents approved by Cabinet</t>
  </si>
  <si>
    <t>&gt;95% of submissions</t>
  </si>
  <si>
    <t>Actual expenditure as a percent of Budgeted expenditure</t>
  </si>
  <si>
    <t>&gt;100%</t>
  </si>
  <si>
    <t>Down-time of critical medical equipment:
  1. Fixed X-Ray Unit
  2. Ultrasound Machine
  3.  Cell Dyn Haematology         
       Analyser
  4.  ATAC Biochemistry                          
       Analyser
  5. Chemwell Biochemistry    
      Analyser
  6. Electronic Foetal Doppler</t>
  </si>
  <si>
    <t>18/2/2014  -  31/3/2015</t>
  </si>
  <si>
    <t xml:space="preserve">
1/4/2015 - present
16/9/2015 - present
4/2015 to present
30/9/2015 -11/2015
29/10/2015 – 18/11/2015
2 days</t>
  </si>
  <si>
    <t>No down-time anticipated</t>
  </si>
  <si>
    <t>Down-time of critical plant/equipment
  1. Golden Eagle Fogging 
      Machine</t>
  </si>
  <si>
    <t>1/4/2014 – 31/3/2015
(condemned)</t>
  </si>
  <si>
    <t>No down time  anticipated</t>
  </si>
  <si>
    <t>PROGRAMME 451: PRIMARY HEALTHCARE</t>
  </si>
  <si>
    <t>To improve health outcomes from equal access and utilisation of an increasing range of quality primary health services</t>
  </si>
  <si>
    <t>Improve the early detection and effective management of persons living with non-communicable diseases through building capacity among staff and engaging clients and their family members.  [2.2]</t>
  </si>
  <si>
    <t>Maintain high vaccination coverage among infants and children up to 15 years of age to protect against targeted diseases. [2.1, 2.2]</t>
  </si>
  <si>
    <t>Increase access to mental health by building capacity of health care workers throughout the health care system and enhancing care processes and procedures.  [2.3]</t>
  </si>
  <si>
    <t>Conduct oral disease prevention programmes [2.2]</t>
  </si>
  <si>
    <t>Enhance oral health awareness through targeted activities and public education [2.2]</t>
  </si>
  <si>
    <t>Work with Programme areas and other stakeholders to conceptualize and deliver Health Education &amp; Promotion Programmes in line with MoHSS Key Strategies. [2.1, 2.2]</t>
  </si>
  <si>
    <t>Continue Communicable Disease Surveillance in order to identify and respond to emerging Public health concerns. [2.2]</t>
  </si>
  <si>
    <t>Number of capacity building opportunities designed to address prevention &amp; management of NCDs &amp; mental health</t>
  </si>
  <si>
    <t>1. Gest DM
2. DM Foot 
    Care
3. Behaviour   
    Change
4. Chronic Dx  
  Management
5. Integrating 
    Mental H; 
6. New Mental    
     H Policy</t>
  </si>
  <si>
    <t>1 training activity per quarter</t>
  </si>
  <si>
    <t>Number of persons reached through Workplace Screening</t>
  </si>
  <si>
    <t>5% increase on previous year</t>
  </si>
  <si>
    <t>Number of psychiatric cases treated in the Primary Care setting</t>
  </si>
  <si>
    <t>10% increase on previous year</t>
  </si>
  <si>
    <t>10% Increase on previous year</t>
  </si>
  <si>
    <t>Number of Pentavalent vaccines administered</t>
  </si>
  <si>
    <t>Number of live births in 2015</t>
  </si>
  <si>
    <t>Number of live births in 2016</t>
  </si>
  <si>
    <t>Number of live births in 2017</t>
  </si>
  <si>
    <t>% of children identified during school health assessment as being overweight who receive support through a structured intervention.</t>
  </si>
  <si>
    <t>&gt;50%</t>
  </si>
  <si>
    <t>&gt;60%</t>
  </si>
  <si>
    <t>&gt;70%</t>
  </si>
  <si>
    <t>&gt;75%</t>
  </si>
  <si>
    <t xml:space="preserve">% of children reached with dental sealant programme (6 – 7 year olds) </t>
  </si>
  <si>
    <t>100% of pilot group</t>
  </si>
  <si>
    <t>90% for application of sealant
70% for follow-up</t>
  </si>
  <si>
    <t>% of registered diabetic patients who complete an annual physical</t>
  </si>
  <si>
    <t>2% at end of Sept</t>
  </si>
  <si>
    <t>% of registered hypertensives who complete an annual physical</t>
  </si>
  <si>
    <t>% of registered diabetics whose HbA1c is  &lt;7.5 at last visit</t>
  </si>
  <si>
    <t>% of registered diabetics-hypertensives whose BP is &lt; 130/80 at last visit</t>
  </si>
  <si>
    <t>% of registered hypertensives whose BP was &lt;140/90 at last visit</t>
  </si>
  <si>
    <t>% of registered infants covered by Pentavalent vaccination</t>
  </si>
  <si>
    <t>PROGRAMME 452: SECONDARY HEALTHCARE</t>
  </si>
  <si>
    <t>To provide timely, affordable and accessible defined secondary health care services</t>
  </si>
  <si>
    <t>Hospital Receipts</t>
  </si>
  <si>
    <r>
      <t>1.</t>
    </r>
    <r>
      <rPr>
        <sz val="8"/>
        <color theme="1"/>
        <rFont val="Times New Roman"/>
        <family val="1"/>
      </rPr>
      <t xml:space="preserve">    </t>
    </r>
    <r>
      <rPr>
        <sz val="8"/>
        <color theme="1"/>
        <rFont val="Arial"/>
        <family val="2"/>
      </rPr>
      <t>Improve the management of persons living with Non-Communicable Diseases through the development of individualized Care and Educational Plans and the continuous availability of relevant supplies and diagnostic tests. [2.1, 2.2]</t>
    </r>
  </si>
  <si>
    <r>
      <t>2.</t>
    </r>
    <r>
      <rPr>
        <sz val="8"/>
        <color theme="1"/>
        <rFont val="Times New Roman"/>
        <family val="1"/>
      </rPr>
      <t xml:space="preserve">    </t>
    </r>
    <r>
      <rPr>
        <sz val="8"/>
        <color theme="1"/>
        <rFont val="Arial"/>
        <family val="2"/>
      </rPr>
      <t>Engage the appropriate range of stakeholders (staff &amp; family members) in the management of persons requiring assistance in managing their health condition. [2.1, 2.2, 2.3]</t>
    </r>
  </si>
  <si>
    <r>
      <t>3.</t>
    </r>
    <r>
      <rPr>
        <sz val="8"/>
        <color theme="1"/>
        <rFont val="Times New Roman"/>
        <family val="1"/>
      </rPr>
      <t xml:space="preserve">    </t>
    </r>
    <r>
      <rPr>
        <sz val="8"/>
        <color theme="1"/>
        <rFont val="Arial"/>
        <family val="2"/>
      </rPr>
      <t>Reduce the risk of healthcare associated infections through the review, adoption and implementation of Infection Control Policies &amp; Procedures. [2.1]</t>
    </r>
  </si>
  <si>
    <r>
      <t>4.</t>
    </r>
    <r>
      <rPr>
        <sz val="8"/>
        <color rgb="FF000000"/>
        <rFont val="Times New Roman"/>
        <family val="1"/>
      </rPr>
      <t xml:space="preserve">     </t>
    </r>
    <r>
      <rPr>
        <sz val="8"/>
        <color theme="1"/>
        <rFont val="Arial"/>
        <family val="2"/>
      </rPr>
      <t xml:space="preserve"> Provide fit for purpose hospital infrastructure and equipment [2.1]</t>
    </r>
  </si>
  <si>
    <r>
      <t>5.</t>
    </r>
    <r>
      <rPr>
        <sz val="8"/>
        <color rgb="FF000000"/>
        <rFont val="Times New Roman"/>
        <family val="1"/>
      </rPr>
      <t xml:space="preserve">     </t>
    </r>
    <r>
      <rPr>
        <sz val="8"/>
        <color theme="1"/>
        <rFont val="Arial"/>
        <family val="2"/>
      </rPr>
      <t>Improve the care of residents of the Margetson Memorial Home, with special emphasis on those assessed as being nutritionally vulnerable and those living with chronic.  [2.2, 2.3]</t>
    </r>
  </si>
  <si>
    <t>Number of stock-outs of drugs used to treat NCDs during the year</t>
  </si>
  <si>
    <t>1. Cholesterol 
    lowering 
    meds
2. HTN meds: 
    Labetalol  at 
    end of Sept.</t>
  </si>
  <si>
    <t>Reduction of the baseline figure</t>
  </si>
  <si>
    <t>Number of stock-=outs of reagents required to monitor the status of persons living with NCDs during the year</t>
  </si>
  <si>
    <t>1. HbA1C Kits
2. Micro-   
    Albumin Kits
3. HDL Rgt</t>
  </si>
  <si>
    <t>% of MMH residents who have a documented Care Plan</t>
  </si>
  <si>
    <t>Status of the Business Case for the new Hospital</t>
  </si>
  <si>
    <t>25% complete</t>
  </si>
  <si>
    <t>100% complete</t>
  </si>
  <si>
    <t xml:space="preserve">Number of diabetes admissions </t>
  </si>
  <si>
    <t xml:space="preserve">Diabetes re-admission </t>
  </si>
  <si>
    <t>4 
(8.2%)</t>
  </si>
  <si>
    <t>&lt;8%</t>
  </si>
  <si>
    <t>&lt;5%</t>
  </si>
  <si>
    <t>Number of hypertensive admissions</t>
  </si>
  <si>
    <t xml:space="preserve">Hypertension re-admission </t>
  </si>
  <si>
    <t>1 
(3.2%)</t>
  </si>
  <si>
    <t>PROGRAMME454: SOCIAL SERVICES</t>
  </si>
  <si>
    <t>To empower persons, strengthen the fabric of community and to provide care to the most vulnerable persons on Montserrat</t>
  </si>
  <si>
    <t>Reimbursments</t>
  </si>
  <si>
    <t>Continue efforts to safeguard and protect the children of Montserrat by putting in place the necessary legislative and policy framework and programmes. [2.9]</t>
  </si>
  <si>
    <t>Review and update the existing Social Welfare Act to enhance the Ministry’s ability to identify and respond to socially vulnerable persons.  [2.2, 2.3, 2.5, 2.9]</t>
  </si>
  <si>
    <t>Improve the quality of life of older persons through the development and adoption of an appropriate evidence-based Policy and legislative framework.  [2.2, 2.3]</t>
  </si>
  <si>
    <t>Continue efforts to improve the quality of life of persons living with disabilities by putting in place the necessary legislative and policy framework and programmes. [2.3]</t>
  </si>
  <si>
    <r>
      <t>Promote ad improve gender development through the development of a gender strategy in consideration of the Convention on the Elimination of all Forms of Discrimination Against Women  (CEDAW) and other related gender plans</t>
    </r>
    <r>
      <rPr>
        <b/>
        <sz val="8"/>
        <color rgb="FF000000"/>
        <rFont val="Arial"/>
        <family val="2"/>
      </rPr>
      <t xml:space="preserve">. </t>
    </r>
    <r>
      <rPr>
        <sz val="8"/>
        <color rgb="FF000000"/>
        <rFont val="Arial"/>
        <family val="2"/>
      </rPr>
      <t>[2.3]</t>
    </r>
  </si>
  <si>
    <t>Promote and improve the services offered to probationers and parolees through the development of a policy framework [2.2, 2.3]</t>
  </si>
  <si>
    <t>Number of items of Legislation &amp; Policy on child protection developed</t>
  </si>
  <si>
    <t>% of child abuse referrals that have a completed Assessment and Care Plan</t>
  </si>
  <si>
    <t>32.8%
(22 of 67 referrals)</t>
  </si>
  <si>
    <t>50%
(21 of 42 referrals)</t>
  </si>
  <si>
    <t>Number of child abuse cases taken before the Child Protection Board</t>
  </si>
  <si>
    <t>An updated Social Welfare Act submitted to Cabinet</t>
  </si>
  <si>
    <t>Yes</t>
  </si>
  <si>
    <t>An Older Persons/ Senior Citizens Policy submitted to Cabinet</t>
  </si>
  <si>
    <t>A Disability Policy submitted to Cabinet</t>
  </si>
  <si>
    <t>Number of vulnerable children placed in a protected environment</t>
  </si>
  <si>
    <t>Number of standardized Care Plans provided to older persons</t>
  </si>
  <si>
    <t>20 (of 82)
24%</t>
  </si>
  <si>
    <t>16 (of 41)
39%</t>
  </si>
  <si>
    <t>As per demand</t>
  </si>
  <si>
    <t>Number of standardized Care Plans provided to residents living with disabilities</t>
  </si>
  <si>
    <t>Number of Legislation enacted</t>
  </si>
  <si>
    <t>PROGRAMME 455: ENVIROMNETAL HEALTH SERVICES</t>
  </si>
  <si>
    <t>Provide an effective Environmental Health protection service, which efficiently addresses the public needs and empowerment</t>
  </si>
  <si>
    <t>Protect the public from foodborne illnesses by strengthening the food safety legislative framework and continuous training of relevant stakeholders. [2.2]</t>
  </si>
  <si>
    <t>Minimize degradation of the environment through the completion and implementation of the National Solid Waste Management Strategy [2.2, 3.1]</t>
  </si>
  <si>
    <t>Protect the public from vector borne illnesses through stakeholder engagement and updating of existing legislation. [2.2]</t>
  </si>
  <si>
    <t>Promote the safe and dignified management of the dead through the completion of the Look Out Cemetery and development and implementation of appropriate cemetery management protocols. [2.2]</t>
  </si>
  <si>
    <t>Food Hygiene Legislation completed and submitted to Cabinet</t>
  </si>
  <si>
    <t>Draft Act prepared</t>
  </si>
  <si>
    <t>Food Hygiene Act completed &amp; submitted</t>
  </si>
  <si>
    <t>Supporting Regulations developed &amp; submitted</t>
  </si>
  <si>
    <t>Number of food safety inspections conducted</t>
  </si>
  <si>
    <t>Number of Training Sessions conducted for food handlers.</t>
  </si>
  <si>
    <t>&gt;6</t>
  </si>
  <si>
    <t>Number of Mosquito Inspection Cycles completed</t>
  </si>
  <si>
    <t>Reduced Mosquito Index</t>
  </si>
  <si>
    <t>Low reported levels of Vector Borne diseases</t>
  </si>
  <si>
    <t>Dengue = 0
ChikV = 125</t>
  </si>
  <si>
    <t>&lt; 10 cases</t>
  </si>
  <si>
    <t>&lt;10 cases</t>
  </si>
  <si>
    <t xml:space="preserve">&lt; 10 cases </t>
  </si>
  <si>
    <t>Primary Healthcare</t>
  </si>
  <si>
    <t>TOTAL VOTE 45</t>
  </si>
  <si>
    <t>SALARY SCALES</t>
  </si>
  <si>
    <t xml:space="preserve">2015/16 Scale </t>
  </si>
  <si>
    <t xml:space="preserve">2012/13 Scale </t>
  </si>
  <si>
    <t>R-Point</t>
  </si>
  <si>
    <t xml:space="preserve">Annual  </t>
  </si>
  <si>
    <t xml:space="preserve">Monthly  </t>
  </si>
  <si>
    <t>Increase</t>
  </si>
  <si>
    <t>Annual</t>
  </si>
  <si>
    <t>Monthly</t>
  </si>
  <si>
    <t>R1</t>
  </si>
  <si>
    <t>R2</t>
  </si>
  <si>
    <t>R3</t>
  </si>
  <si>
    <t>R4</t>
  </si>
  <si>
    <t>R5</t>
  </si>
  <si>
    <t>R6</t>
  </si>
  <si>
    <t>R8</t>
  </si>
  <si>
    <t>x</t>
  </si>
  <si>
    <t xml:space="preserve">XX  </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</si>
  <si>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</si>
  <si>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</si>
  <si>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</si>
  <si>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</si>
  <si>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</si>
  <si>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</si>
  <si>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</si>
  <si>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</si>
  <si>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</si>
  <si>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</si>
  <si>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</si>
  <si>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</si>
  <si>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</si>
  <si>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</si>
  <si>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</si>
  <si>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</si>
  <si>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</si>
  <si>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</si>
  <si>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</si>
  <si>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</si>
  <si>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</si>
  <si>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</si>
  <si>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</si>
  <si>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</si>
  <si>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</si>
  <si>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</si>
  <si>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</si>
  <si>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</si>
  <si>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</si>
  <si>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</si>
  <si>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</si>
  <si>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</si>
  <si>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</si>
  <si>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</si>
  <si>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</si>
  <si>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</si>
  <si>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</si>
  <si>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</si>
  <si>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</si>
  <si>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</si>
  <si>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</si>
  <si>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</si>
  <si>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</si>
  <si>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For use in calculating payment for working extra time.</t>
  </si>
  <si>
    <t xml:space="preserve">      Scale</t>
  </si>
  <si>
    <t xml:space="preserve">         Monthly Salary</t>
  </si>
  <si>
    <t>Ordinary</t>
  </si>
  <si>
    <t>O/time</t>
  </si>
  <si>
    <t>D/time</t>
  </si>
  <si>
    <t>R51 - R46</t>
  </si>
  <si>
    <t>R45 - R42</t>
  </si>
  <si>
    <t>R41 - R38</t>
  </si>
  <si>
    <t>R37 - R34</t>
  </si>
  <si>
    <t>R33 - R30</t>
  </si>
  <si>
    <t>R29 - R26</t>
  </si>
  <si>
    <t>R25 - R22</t>
  </si>
  <si>
    <t>R21 - R18</t>
  </si>
  <si>
    <t>R17 - R14</t>
  </si>
  <si>
    <t>R25 - R25</t>
  </si>
  <si>
    <t xml:space="preserve">2015 Scale </t>
  </si>
  <si>
    <t>Increment</t>
  </si>
  <si>
    <t>R01</t>
  </si>
  <si>
    <t>R02</t>
  </si>
  <si>
    <t>R03</t>
  </si>
  <si>
    <t>R04</t>
  </si>
  <si>
    <t>R05</t>
  </si>
  <si>
    <t>R06</t>
  </si>
  <si>
    <t>R07</t>
  </si>
  <si>
    <t>R08</t>
  </si>
  <si>
    <t>R09</t>
  </si>
  <si>
    <t>2014-15  RECURRENT EXPENDITURE CODES  (SUMMARY LEVEL)</t>
  </si>
  <si>
    <t>Salaries &amp; Wages Increase</t>
  </si>
  <si>
    <t>Investment Promotions</t>
  </si>
  <si>
    <t>Agricultural Activities</t>
  </si>
  <si>
    <t>Culture</t>
  </si>
  <si>
    <t>2014-15  RECURRENT EXPENDITURE CODES  ( DETAIL LEVEL)</t>
  </si>
  <si>
    <t>Local Travel Allowance</t>
  </si>
  <si>
    <t>Public Officers Salaries</t>
  </si>
  <si>
    <t>Transport Mileage</t>
  </si>
  <si>
    <t>Rewards and Honoraria</t>
  </si>
  <si>
    <t>Transport - Other</t>
  </si>
  <si>
    <t>Overtime</t>
  </si>
  <si>
    <t>Accommodation &amp; Meals</t>
  </si>
  <si>
    <t>The Governor</t>
  </si>
  <si>
    <t>Airfare International Travel</t>
  </si>
  <si>
    <t>Temporary Workers Salaries</t>
  </si>
  <si>
    <t>Subsistence International Travel</t>
  </si>
  <si>
    <t>Salaries Increase</t>
  </si>
  <si>
    <t>Accommodation &amp; Meals - Training</t>
  </si>
  <si>
    <t>Wages Increase</t>
  </si>
  <si>
    <t>Airfare International Travel - Training</t>
  </si>
  <si>
    <t>Bonus</t>
  </si>
  <si>
    <t>Subsistence International Travel - Training</t>
  </si>
  <si>
    <t>Other Costs International Travel</t>
  </si>
  <si>
    <t>Responsibility &amp; Acting Allowance</t>
  </si>
  <si>
    <t>Electricity Expenses</t>
  </si>
  <si>
    <t>Entertainment Allowance</t>
  </si>
  <si>
    <t>Water Expenses</t>
  </si>
  <si>
    <t>21603</t>
  </si>
  <si>
    <t>Legal Service</t>
  </si>
  <si>
    <t>Street Lighting</t>
  </si>
  <si>
    <t>21604</t>
  </si>
  <si>
    <t>Housing Allowance</t>
  </si>
  <si>
    <t>Utilities Other</t>
  </si>
  <si>
    <t>21605</t>
  </si>
  <si>
    <t>Duty Allowance</t>
  </si>
  <si>
    <t>Telephone</t>
  </si>
  <si>
    <t>21606</t>
  </si>
  <si>
    <t>Inducement Allowance</t>
  </si>
  <si>
    <t>Internet Charges</t>
  </si>
  <si>
    <t>21607</t>
  </si>
  <si>
    <t>On Call All'ce</t>
  </si>
  <si>
    <t>Facsimile</t>
  </si>
  <si>
    <t>21611</t>
  </si>
  <si>
    <t>Cashier Allowance</t>
  </si>
  <si>
    <t>Postage</t>
  </si>
  <si>
    <t>21613</t>
  </si>
  <si>
    <t>Det. &amp; Plain Clothes Allowance</t>
  </si>
  <si>
    <t>MET Aviation &amp; Telecommunications</t>
  </si>
  <si>
    <t>21614</t>
  </si>
  <si>
    <t>Marine Allowance</t>
  </si>
  <si>
    <t>Other Communication Expense</t>
  </si>
  <si>
    <t>21615</t>
  </si>
  <si>
    <t>Charge Pay</t>
  </si>
  <si>
    <t>Office Supplies</t>
  </si>
  <si>
    <t>21617</t>
  </si>
  <si>
    <t>Lodging Allowance</t>
  </si>
  <si>
    <t>Food Supplies</t>
  </si>
  <si>
    <t>21618</t>
  </si>
  <si>
    <t>Proficiency Pay</t>
  </si>
  <si>
    <t>Medical Supplies</t>
  </si>
  <si>
    <t>21620</t>
  </si>
  <si>
    <t>Driving Allowance</t>
  </si>
  <si>
    <t>Other Supplies and Materials</t>
  </si>
  <si>
    <t>21621</t>
  </si>
  <si>
    <t>Professional Allowance</t>
  </si>
  <si>
    <t>21622</t>
  </si>
  <si>
    <t>Overtime Allowance</t>
  </si>
  <si>
    <t>Purchase of Furniture</t>
  </si>
  <si>
    <t>21623</t>
  </si>
  <si>
    <t>Telephone Allowance</t>
  </si>
  <si>
    <t>Purchase of Vehicle</t>
  </si>
  <si>
    <t>21624</t>
  </si>
  <si>
    <t>Market Premium</t>
  </si>
  <si>
    <t>Books and Periodicals</t>
  </si>
  <si>
    <t>21626</t>
  </si>
  <si>
    <t>21699</t>
  </si>
  <si>
    <t>Other Allowances</t>
  </si>
  <si>
    <t>Maintenance of Buildings</t>
  </si>
  <si>
    <t>Gratuities</t>
  </si>
  <si>
    <t>Maintenance of Roads and Bridges</t>
  </si>
  <si>
    <t>Gratuities - Police</t>
  </si>
  <si>
    <t>Maintenance of Vehicles/Heavy Equipment</t>
  </si>
  <si>
    <t>Pensions - Civil</t>
  </si>
  <si>
    <t>Maintenance of Office Equipment</t>
  </si>
  <si>
    <t>Pensions - Police</t>
  </si>
  <si>
    <t>Maintenance of Electrical Instalation</t>
  </si>
  <si>
    <t>Pensions - Legislator</t>
  </si>
  <si>
    <t>Maintenance/Upkeep of Grounds</t>
  </si>
  <si>
    <t>Social Security Contribution</t>
  </si>
  <si>
    <t>Maintenance of Shelters</t>
  </si>
  <si>
    <t>Deceased Officers</t>
  </si>
  <si>
    <t>Fuel Purchases</t>
  </si>
  <si>
    <t>Gratuities - Civil</t>
  </si>
  <si>
    <t>Maintenance of Marine Vessel</t>
  </si>
  <si>
    <t>Leave Passage</t>
  </si>
  <si>
    <t>Rents - Buildings</t>
  </si>
  <si>
    <t>Workmen's Compensation</t>
  </si>
  <si>
    <t>Rental of Voice Channel</t>
  </si>
  <si>
    <t>Other Pensions and Gratuities</t>
  </si>
  <si>
    <t>Hire of Transport</t>
  </si>
  <si>
    <t>2014-15  RECURRENT EXPENDITURE CODES  ( DETAIL LEVEL) cont'd</t>
  </si>
  <si>
    <t>27004</t>
  </si>
  <si>
    <t>Customs Refund</t>
  </si>
  <si>
    <t>Loose Livestock Control</t>
  </si>
  <si>
    <t>Revenue Refund Previous Years</t>
  </si>
  <si>
    <t>Livestock Unit</t>
  </si>
  <si>
    <t>27201</t>
  </si>
  <si>
    <t>Claims against the Government</t>
  </si>
  <si>
    <t>Nursery &amp; Experimental</t>
  </si>
  <si>
    <t>Government Vehicle Accident Claims</t>
  </si>
  <si>
    <t>Irrigation</t>
  </si>
  <si>
    <t>Rent - Other</t>
  </si>
  <si>
    <t>Forestry</t>
  </si>
  <si>
    <t>Visiting Advisor/Volunteers</t>
  </si>
  <si>
    <t>Fisheries</t>
  </si>
  <si>
    <t>Accommodation (Visiting Advisor/Volunteers)</t>
  </si>
  <si>
    <t>Per Diem (Visiting Advisor/Volunteers)</t>
  </si>
  <si>
    <t>Land Purchase &amp; Management</t>
  </si>
  <si>
    <t>Travel and Transportation (Visiting Advisor/Volunteers)</t>
  </si>
  <si>
    <t>Marketing Promotion &amp; Demonstration</t>
  </si>
  <si>
    <t>Locum Doctors</t>
  </si>
  <si>
    <t>27310</t>
  </si>
  <si>
    <t>Home Improvement for the Vulnerable</t>
  </si>
  <si>
    <t>Accommodation (Locum Doctors)</t>
  </si>
  <si>
    <t>27399</t>
  </si>
  <si>
    <t>Other Agricultural Activities</t>
  </si>
  <si>
    <t>Per Diem (Locum Doctors)</t>
  </si>
  <si>
    <t>Hazard Compensation</t>
  </si>
  <si>
    <t>Travel and Transportation (Locum Doctors)</t>
  </si>
  <si>
    <t>EOC Operation</t>
  </si>
  <si>
    <t>Other Professional Services and Fees</t>
  </si>
  <si>
    <t>Emergency Operation</t>
  </si>
  <si>
    <t>Medical Insurance</t>
  </si>
  <si>
    <t>Fuel Operation</t>
  </si>
  <si>
    <t>Property Insurance (Bldg, Furniture</t>
  </si>
  <si>
    <t>Volcano Observatory</t>
  </si>
  <si>
    <t>Travel Insurance (Overseas)</t>
  </si>
  <si>
    <t>27407</t>
  </si>
  <si>
    <t>Emergency Response Planning</t>
  </si>
  <si>
    <t>Vehicle Insurance</t>
  </si>
  <si>
    <t>27501</t>
  </si>
  <si>
    <t>Census and Surveys</t>
  </si>
  <si>
    <t>Group Health Insurance</t>
  </si>
  <si>
    <t>27502</t>
  </si>
  <si>
    <t>Conveyance of Mail</t>
  </si>
  <si>
    <t>Official Entertainment</t>
  </si>
  <si>
    <t>Crown Agents Charge</t>
  </si>
  <si>
    <t>Hosting of Regional Meetings</t>
  </si>
  <si>
    <t>27504</t>
  </si>
  <si>
    <t>External Exams</t>
  </si>
  <si>
    <t>National Celebrations</t>
  </si>
  <si>
    <t>Government Losses</t>
  </si>
  <si>
    <t>Meetings and Conferences</t>
  </si>
  <si>
    <t>27506</t>
  </si>
  <si>
    <t>Housing Development</t>
  </si>
  <si>
    <t>Training - Local In-service</t>
  </si>
  <si>
    <t>27507</t>
  </si>
  <si>
    <t>Incidental</t>
  </si>
  <si>
    <t>Training - Short Courses/Attachments</t>
  </si>
  <si>
    <t>Industrial Estate Management</t>
  </si>
  <si>
    <t>Scholarships and Mandatory Training</t>
  </si>
  <si>
    <t>27509</t>
  </si>
  <si>
    <t>Industrial Promotion Expense</t>
  </si>
  <si>
    <t>Financial Assistance/Grants</t>
  </si>
  <si>
    <t>Loss on Exchange</t>
  </si>
  <si>
    <t>27511</t>
  </si>
  <si>
    <t>Preliminary Survey</t>
  </si>
  <si>
    <t>27512</t>
  </si>
  <si>
    <t>Prisoners Earnings</t>
  </si>
  <si>
    <t>27513</t>
  </si>
  <si>
    <t>Royalties and Commission</t>
  </si>
  <si>
    <t>Grants to Local Institutions</t>
  </si>
  <si>
    <t>27514</t>
  </si>
  <si>
    <t>Sporting Expenditure</t>
  </si>
  <si>
    <t>Contributions to Regional Institut.</t>
  </si>
  <si>
    <t>27515</t>
  </si>
  <si>
    <t>Rewards</t>
  </si>
  <si>
    <t>Contributions to Int'l Institut.</t>
  </si>
  <si>
    <t>27516</t>
  </si>
  <si>
    <t>Scientific Analysis</t>
  </si>
  <si>
    <t>Subvention to Water Authority</t>
  </si>
  <si>
    <t>27517</t>
  </si>
  <si>
    <t>Socio Economic Consultation</t>
  </si>
  <si>
    <t>Subvention to Tourist Board</t>
  </si>
  <si>
    <t>27518</t>
  </si>
  <si>
    <t>Promotion Items</t>
  </si>
  <si>
    <t>Subvention to Ministry of Health</t>
  </si>
  <si>
    <t>27599</t>
  </si>
  <si>
    <t>Other Sundry Expenses</t>
  </si>
  <si>
    <t>Subvention to MVO</t>
  </si>
  <si>
    <t>Subvention to Overseas Mission</t>
  </si>
  <si>
    <t>Subvention to LDA</t>
  </si>
  <si>
    <t>Subvention to Montserrat National Trust</t>
  </si>
  <si>
    <t>26108</t>
  </si>
  <si>
    <t>Subvention to MAS</t>
  </si>
  <si>
    <t>26199</t>
  </si>
  <si>
    <t>Other Subventions</t>
  </si>
  <si>
    <t>Bank Charges</t>
  </si>
  <si>
    <t>Sickness and Disability Benefit</t>
  </si>
  <si>
    <t>Interest on Overdraft</t>
  </si>
  <si>
    <t>Old Age Benefit</t>
  </si>
  <si>
    <t>Soft Mortgage Admin Fee BOM</t>
  </si>
  <si>
    <t>Family and Children Benefit</t>
  </si>
  <si>
    <t>Dev't Bond Contribution Gov't -Inte</t>
  </si>
  <si>
    <t>Unemployment Benefit</t>
  </si>
  <si>
    <t>Dev't Bond Interest Sports Facilities</t>
  </si>
  <si>
    <t>Housing Benefit</t>
  </si>
  <si>
    <t>29006</t>
  </si>
  <si>
    <t>CDB Service Loans Admin Fee - BOM</t>
  </si>
  <si>
    <t>Social Protection Other</t>
  </si>
  <si>
    <t>Student Loan Scheme (Interest)</t>
  </si>
  <si>
    <t>Child Health Programme</t>
  </si>
  <si>
    <t>Port Authority Loan CDB-Capital Rep</t>
  </si>
  <si>
    <t>Nutrition &amp; Health Education Progra</t>
  </si>
  <si>
    <t>Port Authority Loan#2 CDB (Interest</t>
  </si>
  <si>
    <t>Sanitation Programme</t>
  </si>
  <si>
    <t>Port Authority E.I.B Loan (Interest)</t>
  </si>
  <si>
    <t>Psychiatric Care</t>
  </si>
  <si>
    <t>Bank of Montserrat 14SFRM CDB(Interest)</t>
  </si>
  <si>
    <t>C.D.B. Shares</t>
  </si>
  <si>
    <t>26606</t>
  </si>
  <si>
    <t>Sexual Health</t>
  </si>
  <si>
    <t>CDB Demand Notes</t>
  </si>
  <si>
    <t>C.D.B LIAT Loan</t>
  </si>
  <si>
    <t>Industrial Estate</t>
  </si>
  <si>
    <t>DFMC Interest</t>
  </si>
  <si>
    <t>2ND Line of Credit 17-SFR-MOT</t>
  </si>
  <si>
    <t>C.D.B. MSICC Loan 10/SFRM</t>
  </si>
  <si>
    <t>C.D.B. Loan WISCO #06 (Principal)</t>
  </si>
  <si>
    <t>Contribution to SDF CDB</t>
  </si>
  <si>
    <t>Bank of Montserrat 2nd Line of Cred</t>
  </si>
  <si>
    <t>Recurrent Expenditure Closing Account</t>
  </si>
  <si>
    <t>Bank of Montserrat 14SFRM CDB</t>
  </si>
  <si>
    <t>2014-15  RECURRENT REVENUE CODES  ( SUMMARY LEVEL)</t>
  </si>
  <si>
    <t xml:space="preserve">   Taxes on Income, Profits</t>
  </si>
  <si>
    <t xml:space="preserve">   Fees, Fines and Permits</t>
  </si>
  <si>
    <t xml:space="preserve">   Taxes on Property</t>
  </si>
  <si>
    <t xml:space="preserve">   Rents, Interest and Dividends</t>
  </si>
  <si>
    <t xml:space="preserve">   Taxes on Domestic Goods and Services</t>
  </si>
  <si>
    <t xml:space="preserve">   ECCB Profits</t>
  </si>
  <si>
    <t xml:space="preserve">   Licenses</t>
  </si>
  <si>
    <t xml:space="preserve">   Reimbursements</t>
  </si>
  <si>
    <t xml:space="preserve">   Taxes on International Trade</t>
  </si>
  <si>
    <t xml:space="preserve">   Budgetary Assistance</t>
  </si>
  <si>
    <t xml:space="preserve">   Other Revenue</t>
  </si>
  <si>
    <t>2014-15  RECURRENT REVENUE CODES  ( DETAIL LEVEL)</t>
  </si>
  <si>
    <t>11001</t>
  </si>
  <si>
    <t>Corporate Income Tax</t>
  </si>
  <si>
    <t>13025</t>
  </si>
  <si>
    <t>Trademarks and Patents</t>
  </si>
  <si>
    <t>11002</t>
  </si>
  <si>
    <t>Personal Income Tax</t>
  </si>
  <si>
    <t>13026</t>
  </si>
  <si>
    <t>Weights and Measures</t>
  </si>
  <si>
    <t>13027</t>
  </si>
  <si>
    <t>Work Permits</t>
  </si>
  <si>
    <t>11003</t>
  </si>
  <si>
    <t>13030</t>
  </si>
  <si>
    <t>11501</t>
  </si>
  <si>
    <t>13031</t>
  </si>
  <si>
    <t>Security Charge</t>
  </si>
  <si>
    <t>12001</t>
  </si>
  <si>
    <t>Hotel Occupancy Tax</t>
  </si>
  <si>
    <t>13032</t>
  </si>
  <si>
    <t>PWD  Laboratory</t>
  </si>
  <si>
    <t>12002</t>
  </si>
  <si>
    <t>13033</t>
  </si>
  <si>
    <t>12003</t>
  </si>
  <si>
    <t>13034</t>
  </si>
  <si>
    <t>12004</t>
  </si>
  <si>
    <t>Stamp Duty</t>
  </si>
  <si>
    <t>13035</t>
  </si>
  <si>
    <t>12005</t>
  </si>
  <si>
    <t>Embarkation Tax</t>
  </si>
  <si>
    <t>13036</t>
  </si>
  <si>
    <t>Royalties: Internet Domain Manageme</t>
  </si>
  <si>
    <t>12006</t>
  </si>
  <si>
    <t>Student Permit Fees</t>
  </si>
  <si>
    <t>13037</t>
  </si>
  <si>
    <t>Scenic Flight</t>
  </si>
  <si>
    <t>12202</t>
  </si>
  <si>
    <t>Licences v Universities and College</t>
  </si>
  <si>
    <t>13038</t>
  </si>
  <si>
    <t>12203</t>
  </si>
  <si>
    <t>Licences v Land Holding</t>
  </si>
  <si>
    <t>13039</t>
  </si>
  <si>
    <t>ASYCUDA User Fee</t>
  </si>
  <si>
    <t>12204</t>
  </si>
  <si>
    <t>Licences v Drivers</t>
  </si>
  <si>
    <t>13040</t>
  </si>
  <si>
    <t>Finger Printing Fee</t>
  </si>
  <si>
    <t>12205</t>
  </si>
  <si>
    <t>Licences v Firearms</t>
  </si>
  <si>
    <t>13501</t>
  </si>
  <si>
    <t>Bank of Montserrat Interests (CDB)</t>
  </si>
  <si>
    <t>12207</t>
  </si>
  <si>
    <t>Licences v Liquor and Still</t>
  </si>
  <si>
    <t>13502</t>
  </si>
  <si>
    <t>Concession Rental v Airport</t>
  </si>
  <si>
    <t>12208</t>
  </si>
  <si>
    <t>Licences v Motor Vehicle</t>
  </si>
  <si>
    <t>13503</t>
  </si>
  <si>
    <t>Port Authority CDB #01 SFR-ORM Inte</t>
  </si>
  <si>
    <t>12209</t>
  </si>
  <si>
    <t>Licences v Telecommunications</t>
  </si>
  <si>
    <t>13506</t>
  </si>
  <si>
    <t>12210</t>
  </si>
  <si>
    <t>Licences v Trade</t>
  </si>
  <si>
    <t>13508</t>
  </si>
  <si>
    <t>12211</t>
  </si>
  <si>
    <t>Licences - Cable TV</t>
  </si>
  <si>
    <t>Shelter Rental</t>
  </si>
  <si>
    <t>12212</t>
  </si>
  <si>
    <t>Licences - Other Business</t>
  </si>
  <si>
    <t>Rental of Non - Agric Lands</t>
  </si>
  <si>
    <t>12213</t>
  </si>
  <si>
    <t>Licences - Import Licences</t>
  </si>
  <si>
    <t>Government Housing Loan</t>
  </si>
  <si>
    <t>12214</t>
  </si>
  <si>
    <t>Licenses - Mining</t>
  </si>
  <si>
    <t>14503</t>
  </si>
  <si>
    <t>12501</t>
  </si>
  <si>
    <t>Import Duty</t>
  </si>
  <si>
    <t>14504</t>
  </si>
  <si>
    <t>Previous Years Reimbursements</t>
  </si>
  <si>
    <t>12502</t>
  </si>
  <si>
    <t>Customs Service Tax</t>
  </si>
  <si>
    <t>Social Welfare Scheme</t>
  </si>
  <si>
    <t>12503</t>
  </si>
  <si>
    <t>15001</t>
  </si>
  <si>
    <t>Special Budgetary Assistance</t>
  </si>
  <si>
    <t>12504</t>
  </si>
  <si>
    <t>International Communications</t>
  </si>
  <si>
    <t>16002</t>
  </si>
  <si>
    <t>12505</t>
  </si>
  <si>
    <t>Consumption Tax</t>
  </si>
  <si>
    <t>16006</t>
  </si>
  <si>
    <t>Port Authority CDB #01 SFR-ORM Prin</t>
  </si>
  <si>
    <t>12506</t>
  </si>
  <si>
    <t>Entertainment Tax</t>
  </si>
  <si>
    <t>16014</t>
  </si>
  <si>
    <t>Disposal of Vehicle</t>
  </si>
  <si>
    <t>12507</t>
  </si>
  <si>
    <t>16015</t>
  </si>
  <si>
    <t>12508</t>
  </si>
  <si>
    <t>Cruise Ship Tax</t>
  </si>
  <si>
    <t>16017</t>
  </si>
  <si>
    <t>Hire of Agriculture Equipment</t>
  </si>
  <si>
    <t>Company Tax Arrears</t>
  </si>
  <si>
    <t>16018</t>
  </si>
  <si>
    <t>Income  Tax Arrears</t>
  </si>
  <si>
    <t>16019</t>
  </si>
  <si>
    <t>Property Tax Arrears</t>
  </si>
  <si>
    <t>16020</t>
  </si>
  <si>
    <t>Nursery School Receipts</t>
  </si>
  <si>
    <t>13001</t>
  </si>
  <si>
    <t>16021</t>
  </si>
  <si>
    <t>Parcel Posts</t>
  </si>
  <si>
    <t>13002</t>
  </si>
  <si>
    <t>16022</t>
  </si>
  <si>
    <t>13003</t>
  </si>
  <si>
    <t>Aircraft Landing Fees</t>
  </si>
  <si>
    <t>16024</t>
  </si>
  <si>
    <t>13005</t>
  </si>
  <si>
    <t>16025</t>
  </si>
  <si>
    <t>Sale of Government Lands</t>
  </si>
  <si>
    <t>13006</t>
  </si>
  <si>
    <t>Cemetery Dues</t>
  </si>
  <si>
    <t>16026</t>
  </si>
  <si>
    <t>Sale of Maps, etc.</t>
  </si>
  <si>
    <t>13007</t>
  </si>
  <si>
    <t>Certificate v Birth, etc.</t>
  </si>
  <si>
    <t>16028</t>
  </si>
  <si>
    <t>13008</t>
  </si>
  <si>
    <t>16030</t>
  </si>
  <si>
    <t>School Bus Receipts</t>
  </si>
  <si>
    <t>13009</t>
  </si>
  <si>
    <t>16031</t>
  </si>
  <si>
    <t>School Feeding</t>
  </si>
  <si>
    <t>13010</t>
  </si>
  <si>
    <t>Customs Fines</t>
  </si>
  <si>
    <t>16032</t>
  </si>
  <si>
    <t>13011</t>
  </si>
  <si>
    <t>Customs Officers Fees</t>
  </si>
  <si>
    <t>16034</t>
  </si>
  <si>
    <t>Customs Officer Fees</t>
  </si>
  <si>
    <t>13012</t>
  </si>
  <si>
    <t>16035</t>
  </si>
  <si>
    <t>Lease of Government Land</t>
  </si>
  <si>
    <t>13013</t>
  </si>
  <si>
    <t>Fines on Government Officers</t>
  </si>
  <si>
    <t>16036</t>
  </si>
  <si>
    <t>Sales of Laws &amp; Related Documents</t>
  </si>
  <si>
    <t>13015</t>
  </si>
  <si>
    <t>High Court</t>
  </si>
  <si>
    <t>16039</t>
  </si>
  <si>
    <t>Revenue from Re-saleable Stock</t>
  </si>
  <si>
    <t>13016</t>
  </si>
  <si>
    <t>16040</t>
  </si>
  <si>
    <t>Revenue from Hot Mix Plant Operatio</t>
  </si>
  <si>
    <t>13020</t>
  </si>
  <si>
    <t>Magistrate Court</t>
  </si>
  <si>
    <t>16041</t>
  </si>
  <si>
    <t>Revenue from Mechanical Spares</t>
  </si>
  <si>
    <t>13021</t>
  </si>
  <si>
    <t>Naturalisation Fees</t>
  </si>
  <si>
    <t>16042</t>
  </si>
  <si>
    <t>Revenue from Plant &amp; Workshop Opera</t>
  </si>
  <si>
    <t>13022</t>
  </si>
  <si>
    <t>Real Estate Agent Registration</t>
  </si>
  <si>
    <t>16099</t>
  </si>
  <si>
    <t>13023</t>
  </si>
  <si>
    <t>Registration of Titles</t>
  </si>
  <si>
    <t>GRADE</t>
  </si>
  <si>
    <t>DETAILS OF ESTABLISHMENT 2014/2015</t>
  </si>
  <si>
    <t>SALARY SCALE</t>
  </si>
  <si>
    <t>050 - FIRE</t>
  </si>
  <si>
    <t>Chief Fire Officer</t>
  </si>
  <si>
    <t>R17-13</t>
  </si>
  <si>
    <t>Deputy Chief Fire Officer</t>
  </si>
  <si>
    <t>R22-18</t>
  </si>
  <si>
    <t>Fire Officer</t>
  </si>
  <si>
    <t>R27-23</t>
  </si>
  <si>
    <t>Firefighter</t>
  </si>
  <si>
    <t>R39-28</t>
  </si>
  <si>
    <t>051 - POLICE</t>
  </si>
  <si>
    <t>Commissioner</t>
  </si>
  <si>
    <t>Deputy Commissioner</t>
  </si>
  <si>
    <t>Superintendent</t>
  </si>
  <si>
    <t>Inspector</t>
  </si>
  <si>
    <t>Sergeant</t>
  </si>
  <si>
    <t>Constable</t>
  </si>
  <si>
    <t>Assistant Secretary</t>
  </si>
  <si>
    <t>Executive Officer</t>
  </si>
  <si>
    <t>R28-22</t>
  </si>
  <si>
    <t>Clerical Officer (Snr)</t>
  </si>
  <si>
    <t>Clerical Officer</t>
  </si>
  <si>
    <t>R46-34</t>
  </si>
  <si>
    <t>052 - FINANCIAL CRIME AND ANALYSIS UNIT</t>
  </si>
  <si>
    <t>070 - ADMINISTRATION OF JUSTICE</t>
  </si>
  <si>
    <t>Parliamentary Counsel</t>
  </si>
  <si>
    <t>Princ Crown Counsel (Civil)</t>
  </si>
  <si>
    <t>Snr Crown Counsel (Civil)</t>
  </si>
  <si>
    <t>R12-8</t>
  </si>
  <si>
    <t>Crown Counsel (Civil)</t>
  </si>
  <si>
    <t>Crown Counsel (Drafting)</t>
  </si>
  <si>
    <t>Legal Assistant (Drafting)</t>
  </si>
  <si>
    <t>22-18/16</t>
  </si>
  <si>
    <t>Legal Assistant (Finance/Administration)</t>
  </si>
  <si>
    <t>Office Attendant</t>
  </si>
  <si>
    <t>R51-45</t>
  </si>
  <si>
    <t>080 - MAGISTRATE'S COURT SERVICES</t>
  </si>
  <si>
    <t>Magistrate (Chief)</t>
  </si>
  <si>
    <t>090 - SUPREME COURT</t>
  </si>
  <si>
    <t>R14-10</t>
  </si>
  <si>
    <t>Deputy Registrar/Asst Magistrate</t>
  </si>
  <si>
    <t>Court Reporter</t>
  </si>
  <si>
    <t>Bailiff</t>
  </si>
  <si>
    <t>Clerical Officer  </t>
  </si>
  <si>
    <t>100 - LEGISLATURE</t>
  </si>
  <si>
    <t>Clerk of Assembly/Director</t>
  </si>
  <si>
    <t xml:space="preserve">Clerical Officer </t>
  </si>
  <si>
    <t>Speaker of Legislative Assembly</t>
  </si>
  <si>
    <t>Member of Legislative Assembly</t>
  </si>
  <si>
    <t>101 -CONSTITUTION COMMISSION SECRETARIAT</t>
  </si>
  <si>
    <t xml:space="preserve">Snr Commissions Analyst </t>
  </si>
  <si>
    <t xml:space="preserve">Commissions Analyst </t>
  </si>
  <si>
    <t>102 - AUDIT</t>
  </si>
  <si>
    <t>Deputy Auditor General</t>
  </si>
  <si>
    <t>R17-13/R7</t>
  </si>
  <si>
    <t>IT Audit Manager</t>
  </si>
  <si>
    <t>Audit Manager</t>
  </si>
  <si>
    <t>Senior Auditor</t>
  </si>
  <si>
    <t>Auditor</t>
  </si>
  <si>
    <t>R33-29/28-22</t>
  </si>
  <si>
    <t xml:space="preserve">Cleaner </t>
  </si>
  <si>
    <t xml:space="preserve">12 - OFFICE OF THE DEPUTY GOVERNOR </t>
  </si>
  <si>
    <t>120 - DEPUTY GOVERNOR'S HEADQUARTERS</t>
  </si>
  <si>
    <t>Deputy Governor</t>
  </si>
  <si>
    <t>Head, ODG</t>
  </si>
  <si>
    <t>Building &amp; Security Officer/Facilities Manager</t>
  </si>
  <si>
    <t>R31-28</t>
  </si>
  <si>
    <t>Consular Assistant</t>
  </si>
  <si>
    <t>Cleaners</t>
  </si>
  <si>
    <t>121 - HUMAN RESOURCES UNIT</t>
  </si>
  <si>
    <t>Director, Learning &amp; Development</t>
  </si>
  <si>
    <t>Director, Strategic Human Resource and Operations</t>
  </si>
  <si>
    <t>Senior Assistant Secretary</t>
  </si>
  <si>
    <t>R17 -13</t>
  </si>
  <si>
    <t>122 - PRISON</t>
  </si>
  <si>
    <t>Deputy Superintendent</t>
  </si>
  <si>
    <t>Assistant Superintendent</t>
  </si>
  <si>
    <t>Senior Prison Officer</t>
  </si>
  <si>
    <t>Prison Officer</t>
  </si>
  <si>
    <t>R39-32</t>
  </si>
  <si>
    <t>Prison Cook</t>
  </si>
  <si>
    <t xml:space="preserve">124 - DISASTER MGMNT COORDINATION AGENCY </t>
  </si>
  <si>
    <t>Director</t>
  </si>
  <si>
    <t>Driver/Technician</t>
  </si>
  <si>
    <t>125 - GOVERNOR</t>
  </si>
  <si>
    <t>Governor's Driver</t>
  </si>
  <si>
    <t>Resident Assistant</t>
  </si>
  <si>
    <t>Cook</t>
  </si>
  <si>
    <t>Cleaner</t>
  </si>
  <si>
    <t xml:space="preserve">130 - PUBLIC PROSECUTION </t>
  </si>
  <si>
    <t>Director, Public Prosecution</t>
  </si>
  <si>
    <t>Snr Crown Counsel (Criminal)</t>
  </si>
  <si>
    <t>Crown Counsel (Criminal)</t>
  </si>
  <si>
    <t>Clerical Officer (Snr.)</t>
  </si>
  <si>
    <t>150 - STRATEGIC MANAGEMENT AND ADMINISTRATION</t>
  </si>
  <si>
    <t>Premier</t>
  </si>
  <si>
    <t>Public Relations Officer</t>
  </si>
  <si>
    <t>Monitoring &amp; Evaluation Officer</t>
  </si>
  <si>
    <t>Senior Assistant Secretary / Clerk of Cabinet</t>
  </si>
  <si>
    <t>Assistant Secretary, Protocol &amp; Services</t>
  </si>
  <si>
    <t>Research &amp; Database Officer</t>
  </si>
  <si>
    <t>Office Attendant/Driver</t>
  </si>
  <si>
    <t>152 - BROADCASTING</t>
  </si>
  <si>
    <t>Director, Information &amp; Communication</t>
  </si>
  <si>
    <t>Broadcast Manager</t>
  </si>
  <si>
    <t>R17-13/14-10</t>
  </si>
  <si>
    <t>Executive Producer</t>
  </si>
  <si>
    <t>R26-20/22-16</t>
  </si>
  <si>
    <t>Broadcast Engineer</t>
  </si>
  <si>
    <t>R28-22/22-16</t>
  </si>
  <si>
    <t>Senior Announcer</t>
  </si>
  <si>
    <t>Multi-Media Editor</t>
  </si>
  <si>
    <t>Radio Announcer</t>
  </si>
  <si>
    <t>R46-34/33-29</t>
  </si>
  <si>
    <t>Engineer Assistant</t>
  </si>
  <si>
    <t>Reporter</t>
  </si>
  <si>
    <t>Audio-Videographer</t>
  </si>
  <si>
    <t>Assistant Driver</t>
  </si>
  <si>
    <t>W</t>
  </si>
  <si>
    <t>153 - EXTERNAL AFFAIRS &amp; PROTOCOL SERVICES.</t>
  </si>
  <si>
    <t xml:space="preserve">Director, Regional, Diaspora  Affairs </t>
  </si>
  <si>
    <t>Trade &amp; Investment Policy Officer</t>
  </si>
  <si>
    <t xml:space="preserve">   154 - DEVELOPMENT PLANNING AND POLICY CO-ORDINATION</t>
  </si>
  <si>
    <t>Director, Development Planning &amp; Policy</t>
  </si>
  <si>
    <t>Development Planner</t>
  </si>
  <si>
    <t>Policy Analyst (Snr)</t>
  </si>
  <si>
    <t>Policy Analyst/ Policy &amp; Planning Officer</t>
  </si>
  <si>
    <t>155 - INFORMATION TECHNOLOGY &amp; E-GOVERNMENT SERVICES</t>
  </si>
  <si>
    <t>Systems Development Officer</t>
  </si>
  <si>
    <t>Systems Administrator</t>
  </si>
  <si>
    <t>R22-16/17-13</t>
  </si>
  <si>
    <t>Programmer</t>
  </si>
  <si>
    <t>Systems Engineer</t>
  </si>
  <si>
    <t>Systems Analyst</t>
  </si>
  <si>
    <t>IT Technician 1</t>
  </si>
  <si>
    <t>Help Desk Officer</t>
  </si>
  <si>
    <t>IT Technician II</t>
  </si>
  <si>
    <t>R40-34</t>
  </si>
  <si>
    <t>200 - FINANCE HEADQUARTERS</t>
  </si>
  <si>
    <t>Financial Secretary</t>
  </si>
  <si>
    <r>
      <t xml:space="preserve">Head of Procurement &amp; Commercial Development </t>
    </r>
    <r>
      <rPr>
        <sz val="11"/>
        <color indexed="10"/>
        <rFont val="Garamond"/>
        <family val="1"/>
        <charset val="204"/>
      </rPr>
      <t>(TC)</t>
    </r>
  </si>
  <si>
    <t>Chief Procurement Officer</t>
  </si>
  <si>
    <t>Procurement Officer II</t>
  </si>
  <si>
    <t>Procurement Officer I</t>
  </si>
  <si>
    <t>Senior Clerical</t>
  </si>
  <si>
    <t>203 -FISCAL POLICY &amp; ECONOMIC MANAGEMENT</t>
  </si>
  <si>
    <t>Budget Director</t>
  </si>
  <si>
    <t>Director, Economic Management</t>
  </si>
  <si>
    <r>
      <t xml:space="preserve">Chief Economist </t>
    </r>
    <r>
      <rPr>
        <sz val="11"/>
        <color indexed="10"/>
        <rFont val="Garamond"/>
        <family val="1"/>
        <charset val="204"/>
      </rPr>
      <t>(TC)</t>
    </r>
  </si>
  <si>
    <t>Budget Analyst</t>
  </si>
  <si>
    <t>Project Officer I</t>
  </si>
  <si>
    <t>Project Officer II</t>
  </si>
  <si>
    <t>Economist II</t>
  </si>
  <si>
    <t>Economist I</t>
  </si>
  <si>
    <t>204 - STATISTICAL MANAGEMENT</t>
  </si>
  <si>
    <t>Director, Statistics</t>
  </si>
  <si>
    <t>Statistician</t>
  </si>
  <si>
    <t>Assistant Statistician</t>
  </si>
  <si>
    <t>Computer Systems Officer</t>
  </si>
  <si>
    <t>205 - TREASURY MANAGEMENT</t>
  </si>
  <si>
    <t>Accountant General</t>
  </si>
  <si>
    <t>Deputy Accountant General</t>
  </si>
  <si>
    <t>Accountant</t>
  </si>
  <si>
    <t>Assistant Accountant</t>
  </si>
  <si>
    <t>Accounting Technician (Snr)</t>
  </si>
  <si>
    <t>Accounting Technician</t>
  </si>
  <si>
    <t>206 - CUSTOMS &amp; REVENUE SERVICES</t>
  </si>
  <si>
    <t>Director General</t>
  </si>
  <si>
    <t>Comptrollers</t>
  </si>
  <si>
    <t>Deputy Comptroller</t>
  </si>
  <si>
    <t>Valuation Officer/Appraiser</t>
  </si>
  <si>
    <t>Valuation Officer</t>
  </si>
  <si>
    <t>R22-16/14-10</t>
  </si>
  <si>
    <t>Tax Information Exchange Officer</t>
  </si>
  <si>
    <t>Inspector of Taxes II</t>
  </si>
  <si>
    <t>Inspector of Taxes I</t>
  </si>
  <si>
    <t>Customs Officer Snr</t>
  </si>
  <si>
    <t>Customs Officer III</t>
  </si>
  <si>
    <t>Customs Officer II</t>
  </si>
  <si>
    <t>Customs Officer I</t>
  </si>
  <si>
    <t>R48-34</t>
  </si>
  <si>
    <t>Customs Clerk</t>
  </si>
  <si>
    <t>Office &amp; Tax Payer Services Officer</t>
  </si>
  <si>
    <t>Cashier</t>
  </si>
  <si>
    <t>Clerical Officers</t>
  </si>
  <si>
    <t>Filing /Data Entry Clerk</t>
  </si>
  <si>
    <t>Office Attendants</t>
  </si>
  <si>
    <t>Revenue Officer</t>
  </si>
  <si>
    <t>Revenue Assistant</t>
  </si>
  <si>
    <t>207 - POSTAL SERVICES</t>
  </si>
  <si>
    <t>R14-10/7</t>
  </si>
  <si>
    <t>Postman</t>
  </si>
  <si>
    <t>R48-38</t>
  </si>
  <si>
    <t>208- INTERNAL AUDIT UNIT</t>
  </si>
  <si>
    <t>Chief Internal Auditor</t>
  </si>
  <si>
    <t>Internal Auditor</t>
  </si>
  <si>
    <t>30 - AGRICULTURE, LANDS, HOUSING &amp; ENVIRONMENT</t>
  </si>
  <si>
    <t>300 - STRATEGIC  ADMINISTRATION AND PLANNING</t>
  </si>
  <si>
    <t>Minister</t>
  </si>
  <si>
    <t>R17 - 13</t>
  </si>
  <si>
    <t>Information Systems &amp; Technology Manager</t>
  </si>
  <si>
    <t>Database Officer</t>
  </si>
  <si>
    <t>Watchman</t>
  </si>
  <si>
    <t>R42-36</t>
  </si>
  <si>
    <t>301 - AGRICULTURAL SERVICES</t>
  </si>
  <si>
    <t>Chief Veterinary Officer</t>
  </si>
  <si>
    <t>Chief Fisheries (Ocean Governance) Officer</t>
  </si>
  <si>
    <t>R17-13/R14-10</t>
  </si>
  <si>
    <t>Veterinary Officer</t>
  </si>
  <si>
    <t>Veterinary Assistant (Snr)</t>
  </si>
  <si>
    <t>Principal Agricultural Officer</t>
  </si>
  <si>
    <t>Agricultural Officer</t>
  </si>
  <si>
    <t>Fisheries Officer</t>
  </si>
  <si>
    <t>Fisheries Assistant</t>
  </si>
  <si>
    <t>Extension Officer</t>
  </si>
  <si>
    <t>R28 -22</t>
  </si>
  <si>
    <t>Extension &amp; Irrigation Technician</t>
  </si>
  <si>
    <t>R33-29/R28-22</t>
  </si>
  <si>
    <t>Animal Husbandry Technician</t>
  </si>
  <si>
    <t>Animal Husbandry Assistant</t>
  </si>
  <si>
    <t>Data Collector</t>
  </si>
  <si>
    <t>Driver/Market Manager</t>
  </si>
  <si>
    <t>Plant Propagator</t>
  </si>
  <si>
    <t>Nursery Worker</t>
  </si>
  <si>
    <t>Cleaner - Public Market</t>
  </si>
  <si>
    <t xml:space="preserve">302 - LAND ADMINISTRATION                     </t>
  </si>
  <si>
    <t>Director of Land Management</t>
  </si>
  <si>
    <t>Chief Surveyor</t>
  </si>
  <si>
    <t>Registrar of Lands</t>
  </si>
  <si>
    <t>R17-13/R12-8</t>
  </si>
  <si>
    <t>Land Officer</t>
  </si>
  <si>
    <t>Surveyor</t>
  </si>
  <si>
    <t>Registration Officer</t>
  </si>
  <si>
    <t>Survey Technician</t>
  </si>
  <si>
    <t>Survey Assistants/Chainmen</t>
  </si>
  <si>
    <t>Trainee Survey Technician</t>
  </si>
  <si>
    <t>Cadastral Clerk/Office Attendant</t>
  </si>
  <si>
    <t>303 - PHYSICAL PLANNING&amp; DEVELOPMENT SERVICES</t>
  </si>
  <si>
    <t>Chief Physical Planner</t>
  </si>
  <si>
    <t>Physical Planner</t>
  </si>
  <si>
    <t>GIS Systems Manager</t>
  </si>
  <si>
    <t>R22-16/R17-13</t>
  </si>
  <si>
    <t>Building Inspector (Snr)</t>
  </si>
  <si>
    <t>Electrical Inspector (Snr)</t>
  </si>
  <si>
    <t>Physical Planning Officer</t>
  </si>
  <si>
    <t>Building Inspector</t>
  </si>
  <si>
    <t>Electrical Inspector</t>
  </si>
  <si>
    <t>GIS Officer</t>
  </si>
  <si>
    <t>R28-22/R22-16</t>
  </si>
  <si>
    <t>GIS Technician</t>
  </si>
  <si>
    <t>R46-34/R33-29</t>
  </si>
  <si>
    <t>304 - ENVIRONMENTAL MANAGEMENT</t>
  </si>
  <si>
    <t>Principal Environmental Officer</t>
  </si>
  <si>
    <t>Environmental Officer</t>
  </si>
  <si>
    <t>Forest Technician</t>
  </si>
  <si>
    <t>Forest Rangers</t>
  </si>
  <si>
    <t>Environmental Worker</t>
  </si>
  <si>
    <t>Gardener</t>
  </si>
  <si>
    <t>305 - HOUSING POLICY &amp; SUPPORT SERVICES</t>
  </si>
  <si>
    <t>Director of Housing</t>
  </si>
  <si>
    <t>Housing Officer I</t>
  </si>
  <si>
    <t>Housing Officer II</t>
  </si>
  <si>
    <t>Housing Apprentice/Trainee Housing Officer</t>
  </si>
  <si>
    <t>R33-24/28-22</t>
  </si>
  <si>
    <t xml:space="preserve">306 - TRADE, INVESTMENT &amp; BUREAU STANDARDS &amp; QUALITY </t>
  </si>
  <si>
    <t>Principal Trade &amp; Quality Infrastructure Officer</t>
  </si>
  <si>
    <t>Trade &amp; Quality Infrastructure Officer</t>
  </si>
  <si>
    <t>350 - STRATEGIC MANAGEMENT AND ADMINISTRATION</t>
  </si>
  <si>
    <t>Access Coordinator</t>
  </si>
  <si>
    <t>Storekeeper</t>
  </si>
  <si>
    <t>Vehicle Tester</t>
  </si>
  <si>
    <t>Security Officer</t>
  </si>
  <si>
    <t>351 - INFRASTRUCTURE SERVICES</t>
  </si>
  <si>
    <t>Director of Public Works</t>
  </si>
  <si>
    <t>Civil Engineer</t>
  </si>
  <si>
    <t>Government Architect</t>
  </si>
  <si>
    <t>PWD Architect</t>
  </si>
  <si>
    <t>Architect</t>
  </si>
  <si>
    <t>Structural Engineer</t>
  </si>
  <si>
    <t>Quantity Surveyor</t>
  </si>
  <si>
    <t>Assistant Quantity Surveyor</t>
  </si>
  <si>
    <t>Assistant Civil Engineer</t>
  </si>
  <si>
    <t>Clerk of Works</t>
  </si>
  <si>
    <t>Assistant Clerk of Works</t>
  </si>
  <si>
    <t>Head of Laboratory</t>
  </si>
  <si>
    <t>CAD Operator</t>
  </si>
  <si>
    <t>Engineering Technician</t>
  </si>
  <si>
    <t>Group Foreman</t>
  </si>
  <si>
    <t>Electrician(Snr)</t>
  </si>
  <si>
    <t>Electrician</t>
  </si>
  <si>
    <t>Foreman (Snr)</t>
  </si>
  <si>
    <t>Charge Hand II</t>
  </si>
  <si>
    <t>R30-28</t>
  </si>
  <si>
    <t>Charge Hand I</t>
  </si>
  <si>
    <t>R33-30</t>
  </si>
  <si>
    <t>Lab Assistant</t>
  </si>
  <si>
    <t>Lab Technician</t>
  </si>
  <si>
    <t>R36-32</t>
  </si>
  <si>
    <t>Assistant Engineering Technician</t>
  </si>
  <si>
    <t>R38-36</t>
  </si>
  <si>
    <t>Skilled Labourer</t>
  </si>
  <si>
    <t>R38-34</t>
  </si>
  <si>
    <t>Semi-Skilled Labourer</t>
  </si>
  <si>
    <t>352 - PLANT HIRE &amp; MECHANICAL SERVICES</t>
  </si>
  <si>
    <t>Plant Superintendent</t>
  </si>
  <si>
    <t>Senior Foreman - Mechanics</t>
  </si>
  <si>
    <t>Plant Distribution Officer</t>
  </si>
  <si>
    <t>Senior Foreman - Plant Hire &amp; Mechanical Services</t>
  </si>
  <si>
    <t>Snr Mechanic/Tractor Foreman</t>
  </si>
  <si>
    <t>Heavy Equipment Operator</t>
  </si>
  <si>
    <t>Light Equipment Operator</t>
  </si>
  <si>
    <t>Driver</t>
  </si>
  <si>
    <t>Mechanic Handyman</t>
  </si>
  <si>
    <t>Mechanic II</t>
  </si>
  <si>
    <t>Mechanic I</t>
  </si>
  <si>
    <t>Cesspool Operator</t>
  </si>
  <si>
    <t>Cesspool Driver</t>
  </si>
  <si>
    <t>Security</t>
  </si>
  <si>
    <t>Welder (Snr)</t>
  </si>
  <si>
    <t>Welder</t>
  </si>
  <si>
    <t>Tractor Mechanic</t>
  </si>
  <si>
    <t>R39-29/28-22</t>
  </si>
  <si>
    <t>Tractor Operator</t>
  </si>
  <si>
    <t>353 - AIRPORT MANAGEMENT &amp; OPERATION</t>
  </si>
  <si>
    <t>Airport Manager</t>
  </si>
  <si>
    <t>Operations Manager</t>
  </si>
  <si>
    <t>Senior Air Traffic Controller</t>
  </si>
  <si>
    <t>Air Traffic Shift Supervisor</t>
  </si>
  <si>
    <t>Air Traffic Controller</t>
  </si>
  <si>
    <t>R28-20</t>
  </si>
  <si>
    <t>Air Traffic Controller/Trainee</t>
  </si>
  <si>
    <t>Security Officer (Chief)</t>
  </si>
  <si>
    <t>Security Officer (Supervisor)</t>
  </si>
  <si>
    <t>Maintenance Handyman</t>
  </si>
  <si>
    <t>Night Security Officer</t>
  </si>
  <si>
    <t>Sub Night Security Officer</t>
  </si>
  <si>
    <t>355 - INDUSTRIAL RELATIONS &amp; EMPLOYMENT SERVICES</t>
  </si>
  <si>
    <t>Labour Commissioner</t>
  </si>
  <si>
    <t>Labour Officer</t>
  </si>
  <si>
    <t>Labour Inspector</t>
  </si>
  <si>
    <t>R28-22/R22-18</t>
  </si>
  <si>
    <t>MINISTRY OF EDUCATION</t>
  </si>
  <si>
    <t>400 - STRATEGIC MANAGEMENT, ADMINISTRATION, AND SUPPORT SERVICES</t>
  </si>
  <si>
    <t>Director of Education</t>
  </si>
  <si>
    <t>Education Officer</t>
  </si>
  <si>
    <t>School Psychologist</t>
  </si>
  <si>
    <t>Computer Technician</t>
  </si>
  <si>
    <t>Driver/Office Assistant</t>
  </si>
  <si>
    <t>R38-31</t>
  </si>
  <si>
    <t>401 - PRIMARY EDUCATION</t>
  </si>
  <si>
    <t>Head Teacher</t>
  </si>
  <si>
    <t>R22-14</t>
  </si>
  <si>
    <t>Teacher (Graduate)</t>
  </si>
  <si>
    <t>R22-16/14</t>
  </si>
  <si>
    <t>Teacher (Trained)</t>
  </si>
  <si>
    <t>R33-21</t>
  </si>
  <si>
    <t>Teacher (Untrained)</t>
  </si>
  <si>
    <t>R38-36/34</t>
  </si>
  <si>
    <t>Guidance Counsellor</t>
  </si>
  <si>
    <t>Dance Teacher</t>
  </si>
  <si>
    <t>Music Teacher</t>
  </si>
  <si>
    <t>Personal Assistant/Janitors</t>
  </si>
  <si>
    <t>Groundsman</t>
  </si>
  <si>
    <t>Cleaner/Helper</t>
  </si>
  <si>
    <t>402 - SECONDARY EDUCATION</t>
  </si>
  <si>
    <t>Principal</t>
  </si>
  <si>
    <t>Principal (Vice)</t>
  </si>
  <si>
    <t>R12-10/9</t>
  </si>
  <si>
    <t>Teachers (Graduate)</t>
  </si>
  <si>
    <t>Teachers (Trained)</t>
  </si>
  <si>
    <t>Teachers (Untrained)</t>
  </si>
  <si>
    <t>Teacher Assistant</t>
  </si>
  <si>
    <t>Technical II</t>
  </si>
  <si>
    <t>Drama Teacher</t>
  </si>
  <si>
    <t>Physical Education Teacher</t>
  </si>
  <si>
    <t>School Safety Officer</t>
  </si>
  <si>
    <t>Head, Pupil Support Unit</t>
  </si>
  <si>
    <t>Teacher (Special Education/LEAP)</t>
  </si>
  <si>
    <t>Teacher (SEN Support)</t>
  </si>
  <si>
    <t>Safety Officer</t>
  </si>
  <si>
    <t>403 - LIBRARY SERVICES</t>
  </si>
  <si>
    <t>Librarian</t>
  </si>
  <si>
    <t>Library Assistant (Snr)</t>
  </si>
  <si>
    <t>Senior Clerical Officer/Library Assistant</t>
  </si>
  <si>
    <t>404 - EARLY CHILDHOOD EDUCATION</t>
  </si>
  <si>
    <t>Nursery Head</t>
  </si>
  <si>
    <t>Nursery Nurse (Snr)</t>
  </si>
  <si>
    <t>Nursery Nurse</t>
  </si>
  <si>
    <t>Nursery Teacher</t>
  </si>
  <si>
    <t>R46-36</t>
  </si>
  <si>
    <t>Helper</t>
  </si>
  <si>
    <t>Cook Helper</t>
  </si>
  <si>
    <t>Nursery Cook</t>
  </si>
  <si>
    <t>HEAD 406 - YOUTH AFFAIRS AND SPORTS</t>
  </si>
  <si>
    <t>Youth &amp; Sports Officer</t>
  </si>
  <si>
    <t>Youth Development Officer</t>
  </si>
  <si>
    <t>Sports Coach</t>
  </si>
  <si>
    <t>Sports Coach Trainee</t>
  </si>
  <si>
    <t>MINISTRY OF HEALTH, COMMUNITY SERVICES, YOUTH AFFAIRS, SPORTS</t>
  </si>
  <si>
    <t>450 - STRATEGIC MANAGEMENT &amp; ADMINISTRATION</t>
  </si>
  <si>
    <t>Health Planner/Epidemiologist</t>
  </si>
  <si>
    <t>Health Information Officer</t>
  </si>
  <si>
    <t>451 - PRIMARY HEALTH CARE</t>
  </si>
  <si>
    <t>Pediatrician</t>
  </si>
  <si>
    <t>District Medical Officer/Anesthetist</t>
  </si>
  <si>
    <t>R12-8/6</t>
  </si>
  <si>
    <t>Medical Officer</t>
  </si>
  <si>
    <t>Health Promotion Coordinator</t>
  </si>
  <si>
    <t>Community Nursing Manager</t>
  </si>
  <si>
    <t>R18-16</t>
  </si>
  <si>
    <t>Physiotherapist</t>
  </si>
  <si>
    <t>Family Nurse Practitioner</t>
  </si>
  <si>
    <t>Community Mental Health Officer</t>
  </si>
  <si>
    <t>Community Psychiatric Nurse</t>
  </si>
  <si>
    <t>Public Health Nurse</t>
  </si>
  <si>
    <t>Psychiatric Nurse</t>
  </si>
  <si>
    <t>Staff /District Nurse</t>
  </si>
  <si>
    <t>Graduate/Registered Nurse</t>
  </si>
  <si>
    <t>R37-35/32-30</t>
  </si>
  <si>
    <t>Senior Enrolled Nursing Assistant</t>
  </si>
  <si>
    <t>R33-31</t>
  </si>
  <si>
    <t>Enrolled Nursing Assistant</t>
  </si>
  <si>
    <t>R46-34/39-34</t>
  </si>
  <si>
    <t>Mental Health Warden</t>
  </si>
  <si>
    <t>Dental Surgeon</t>
  </si>
  <si>
    <t>Dental Nurse</t>
  </si>
  <si>
    <t>Dental Assistant</t>
  </si>
  <si>
    <t>R39-34</t>
  </si>
  <si>
    <t>Clinic Maid</t>
  </si>
  <si>
    <t>452 - SECONDARY HEALTH CARE</t>
  </si>
  <si>
    <t>Chief Medical Officer/Director</t>
  </si>
  <si>
    <t>Surgeon Specialist</t>
  </si>
  <si>
    <t>Physician Specialist</t>
  </si>
  <si>
    <t>Secondary Care Manager</t>
  </si>
  <si>
    <t>Principal Nursing Officer</t>
  </si>
  <si>
    <t>Hospital Nursing Manager</t>
  </si>
  <si>
    <t>R20-16/17-13</t>
  </si>
  <si>
    <t>Nurse Tutor</t>
  </si>
  <si>
    <t>R20-16</t>
  </si>
  <si>
    <t>Nurse Anesthetist</t>
  </si>
  <si>
    <t>Dietetics Technician</t>
  </si>
  <si>
    <t>Ward Sister</t>
  </si>
  <si>
    <t>R24-20</t>
  </si>
  <si>
    <t>Charge Nurse/Home Manager</t>
  </si>
  <si>
    <t>Staff/District Nurse</t>
  </si>
  <si>
    <t>Enrolled Nursing Assistant (Snr)</t>
  </si>
  <si>
    <t>Pharmacist (Snr)</t>
  </si>
  <si>
    <t>Pharmacist</t>
  </si>
  <si>
    <t>Lab Technologist (Snr)</t>
  </si>
  <si>
    <t>Lab Technologist</t>
  </si>
  <si>
    <t>Radiographer</t>
  </si>
  <si>
    <t>Nutrition Officer</t>
  </si>
  <si>
    <t>Radiographic Assistant</t>
  </si>
  <si>
    <t>Supervisor of Housekeeping</t>
  </si>
  <si>
    <t>Health Information Officer (Snr)</t>
  </si>
  <si>
    <t>Maintenance Assistant</t>
  </si>
  <si>
    <t>Head Cook</t>
  </si>
  <si>
    <t>Diet Clerk/Storekeeper</t>
  </si>
  <si>
    <t>Assistant Storekeeper</t>
  </si>
  <si>
    <t>Cook's Assistant</t>
  </si>
  <si>
    <t>Maid</t>
  </si>
  <si>
    <t>Washer</t>
  </si>
  <si>
    <t>Geriatric Aide</t>
  </si>
  <si>
    <t>Geriatric Aide (Snr)</t>
  </si>
  <si>
    <t>Facilities Manager</t>
  </si>
  <si>
    <t>Orderly</t>
  </si>
  <si>
    <t>Seamstress</t>
  </si>
  <si>
    <t>R39-36</t>
  </si>
  <si>
    <t>HEAD 454 - SOCIAL SERVICES</t>
  </si>
  <si>
    <t>Director, Social Services</t>
  </si>
  <si>
    <t>Probation Officer</t>
  </si>
  <si>
    <t>Social Worker (Snr)</t>
  </si>
  <si>
    <t>Social Worker</t>
  </si>
  <si>
    <t>Child Care Officer</t>
  </si>
  <si>
    <t>Social Worker Assistant</t>
  </si>
  <si>
    <t>Warden/Caregiver</t>
  </si>
  <si>
    <t>455 - ENVIRONMENTAL HEALTH</t>
  </si>
  <si>
    <t>Environmental Health Officer (Principal)</t>
  </si>
  <si>
    <t>Environmental Health Officer</t>
  </si>
  <si>
    <t>Vector Control Leader</t>
  </si>
  <si>
    <t>Vector Worker</t>
  </si>
  <si>
    <t>Cemetery Worker</t>
  </si>
  <si>
    <t>Tip Man</t>
  </si>
  <si>
    <t>MONTSERRAT</t>
  </si>
  <si>
    <t>APPROPRIATION ACT, 2016</t>
  </si>
  <si>
    <t>No.          of 2016</t>
  </si>
  <si>
    <t>SCHEDULE</t>
  </si>
  <si>
    <t>(Sections 2 and 4)</t>
  </si>
  <si>
    <t>VOTES</t>
  </si>
  <si>
    <t xml:space="preserve">DETAILS    </t>
  </si>
  <si>
    <t>AMOUNTS</t>
  </si>
  <si>
    <t>TOTALS</t>
  </si>
  <si>
    <t xml:space="preserve"> DEVELOPMENT FUND VOTES</t>
  </si>
  <si>
    <t>TOTAL DEVELOPMENT FUND VOTES</t>
  </si>
  <si>
    <t>SUPPLY  VOTES</t>
  </si>
  <si>
    <t>TOTAL SUPPLY  VOTES</t>
  </si>
  <si>
    <t>SUMMARY</t>
  </si>
  <si>
    <t>DEVELOPMENT FUND VOTES</t>
  </si>
  <si>
    <t>GRAND TOTAL</t>
  </si>
  <si>
    <t xml:space="preserve">ANNEX </t>
  </si>
  <si>
    <t>Allocation by Ministries and Departments</t>
  </si>
  <si>
    <t xml:space="preserve">SUMMARY OF CAPITAL &amp; RECCURENT EXPENDITURE 2015/2016 &amp; 2016/2017 </t>
  </si>
  <si>
    <t>Votes</t>
  </si>
  <si>
    <t>Description of Votes</t>
  </si>
  <si>
    <t>Total Capital &amp; Recurrent Expenditure</t>
  </si>
  <si>
    <t>Medium Term Fiscal Framework</t>
  </si>
  <si>
    <t>Date of Latest Update:  10 March 2016</t>
  </si>
  <si>
    <t>2015/16 Estimated Outturn</t>
  </si>
  <si>
    <t>2016/17 Budget</t>
  </si>
  <si>
    <t>2017/18 Forward Estimate</t>
  </si>
  <si>
    <t>2018/19 Forward Estimate</t>
  </si>
  <si>
    <r>
      <t xml:space="preserve">APPROVED REVENUE PROJECTIONS </t>
    </r>
    <r>
      <rPr>
        <sz val="8"/>
        <color rgb="FF000000"/>
        <rFont val="Calibri"/>
        <family val="2"/>
        <scheme val="minor"/>
      </rPr>
      <t>(including Approved new measures)</t>
    </r>
  </si>
  <si>
    <t>Tax revenues</t>
  </si>
  <si>
    <t>Non-tax revenues</t>
  </si>
  <si>
    <t>Grants</t>
  </si>
  <si>
    <t>Total Revenues</t>
  </si>
  <si>
    <t>APPROVED EXPENDITURE ESTIMATES</t>
  </si>
  <si>
    <r>
      <t>Baseline Recurrent</t>
    </r>
    <r>
      <rPr>
        <sz val="8"/>
        <color rgb="FF000000"/>
        <rFont val="Calibri"/>
        <family val="2"/>
        <scheme val="minor"/>
      </rPr>
      <t xml:space="preserve"> </t>
    </r>
    <r>
      <rPr>
        <b/>
        <sz val="8"/>
        <color rgb="FF000000"/>
        <rFont val="Calibri"/>
        <family val="2"/>
        <scheme val="minor"/>
      </rPr>
      <t>Expenditure</t>
    </r>
    <r>
      <rPr>
        <sz val="8"/>
        <color rgb="FF000000"/>
        <rFont val="Calibri"/>
        <family val="2"/>
        <scheme val="minor"/>
      </rPr>
      <t xml:space="preserve"> (previous budget forward estimates)</t>
    </r>
  </si>
  <si>
    <r>
      <t>+</t>
    </r>
    <r>
      <rPr>
        <sz val="7"/>
        <color rgb="FFFF0000"/>
        <rFont val="Times New Roman"/>
        <family val="1"/>
      </rPr>
      <t xml:space="preserve">         </t>
    </r>
    <r>
      <rPr>
        <sz val="8"/>
        <color rgb="FFFF0000"/>
        <rFont val="Calibri"/>
        <family val="2"/>
        <scheme val="minor"/>
      </rPr>
      <t>Adjustment to 2016 budget prices</t>
    </r>
  </si>
  <si>
    <r>
      <t>+</t>
    </r>
    <r>
      <rPr>
        <sz val="7"/>
        <color rgb="FFFF0000"/>
        <rFont val="Times New Roman"/>
        <family val="1"/>
      </rPr>
      <t xml:space="preserve">         </t>
    </r>
    <r>
      <rPr>
        <sz val="8"/>
        <color rgb="FFFF0000"/>
        <rFont val="Calibri"/>
        <family val="2"/>
        <scheme val="minor"/>
      </rPr>
      <t>Approved New Spending</t>
    </r>
  </si>
  <si>
    <r>
      <t>-</t>
    </r>
    <r>
      <rPr>
        <sz val="7"/>
        <color rgb="FF3366FF"/>
        <rFont val="Times New Roman"/>
        <family val="1"/>
      </rPr>
      <t xml:space="preserve">         </t>
    </r>
    <r>
      <rPr>
        <sz val="8"/>
        <color rgb="FF3366FF"/>
        <rFont val="Calibri"/>
        <family val="2"/>
        <scheme val="minor"/>
      </rPr>
      <t>Approved Savings</t>
    </r>
  </si>
  <si>
    <r>
      <t>+</t>
    </r>
    <r>
      <rPr>
        <sz val="7"/>
        <color rgb="FFFF0000"/>
        <rFont val="Times New Roman"/>
        <family val="1"/>
      </rPr>
      <t xml:space="preserve">         </t>
    </r>
    <r>
      <rPr>
        <sz val="8"/>
        <color rgb="FFFF0000"/>
        <rFont val="Calibri"/>
        <family val="2"/>
        <scheme val="minor"/>
      </rPr>
      <t xml:space="preserve">Adjustment to 2017 and 2018 budget prices </t>
    </r>
  </si>
  <si>
    <t>Approved Recurrent Expenditure</t>
  </si>
  <si>
    <r>
      <t>Capital Expenditure</t>
    </r>
    <r>
      <rPr>
        <sz val="8"/>
        <color rgb="FF000000"/>
        <rFont val="Calibri"/>
        <family val="2"/>
        <scheme val="minor"/>
      </rPr>
      <t xml:space="preserve"> (current approved and funded, previous budget forward estimates)</t>
    </r>
  </si>
  <si>
    <r>
      <t>+</t>
    </r>
    <r>
      <rPr>
        <sz val="7"/>
        <color rgb="FFFF0000"/>
        <rFont val="Times New Roman"/>
        <family val="1"/>
      </rPr>
      <t xml:space="preserve">         </t>
    </r>
    <r>
      <rPr>
        <sz val="8"/>
        <color rgb="FFFF0000"/>
        <rFont val="Calibri"/>
        <family val="2"/>
        <scheme val="minor"/>
      </rPr>
      <t>Additional Expenditure - Existing Projects</t>
    </r>
  </si>
  <si>
    <r>
      <t>+</t>
    </r>
    <r>
      <rPr>
        <sz val="7"/>
        <color rgb="FFFF0000"/>
        <rFont val="Times New Roman"/>
        <family val="1"/>
      </rPr>
      <t xml:space="preserve">         </t>
    </r>
    <r>
      <rPr>
        <sz val="8"/>
        <color rgb="FFFF0000"/>
        <rFont val="Calibri"/>
        <family val="2"/>
        <scheme val="minor"/>
      </rPr>
      <t>Additional Expenditure - New Development Projects</t>
    </r>
  </si>
  <si>
    <t>Approved Capital Expenditure</t>
  </si>
  <si>
    <t>Approved Total Expenditure</t>
  </si>
  <si>
    <t>GDP</t>
  </si>
  <si>
    <t>APPROVED FISCAL BALANCE</t>
  </si>
  <si>
    <t xml:space="preserve">Overall Fiscal Deficit/Surplus </t>
  </si>
  <si>
    <t>Overall Deficit/Surplus % of GDP</t>
  </si>
  <si>
    <t>Public Debt Interest Payments</t>
  </si>
  <si>
    <t>Public Debt Interest as a % of domestic revenues</t>
  </si>
  <si>
    <t>Primary Fiscal Deficit/Surplus</t>
  </si>
  <si>
    <t>Primary Deficit/Surplus % of GDP</t>
  </si>
  <si>
    <t>PUBLIC DEBT</t>
  </si>
  <si>
    <t>Public Debt</t>
  </si>
  <si>
    <t>Public Debt as % of GDP</t>
  </si>
  <si>
    <t>FUNCTIONAL CLASSIFICATION OF THE BUDGET</t>
  </si>
  <si>
    <t>Function of Government</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</si>
  <si>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</si>
  <si>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</si>
  <si>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</si>
  <si>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</si>
  <si>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</si>
  <si>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</si>
  <si>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</si>
  <si>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</si>
  <si>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</si>
  <si>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</si>
  <si>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t>
  </si>
  <si>
    <t>ECONOMIC CLASSIFICATION OF THE BUDGET</t>
  </si>
  <si>
    <t>Actuals           2014-2015</t>
  </si>
  <si>
    <t>Approved Estimates          2015-2016</t>
  </si>
  <si>
    <t>Revised Estimates                 2015-2016</t>
  </si>
  <si>
    <t>Budget Estimates      2016-2017</t>
  </si>
  <si>
    <t>Forward Estimates     2017-2018</t>
  </si>
  <si>
    <t>Forward Estimates     2018-2019</t>
  </si>
  <si>
    <t xml:space="preserve"> Actual 2014-2015</t>
  </si>
  <si>
    <t xml:space="preserve"> Estimate 2015-2016</t>
  </si>
  <si>
    <t xml:space="preserve"> Target 2016-2017</t>
  </si>
  <si>
    <t xml:space="preserve"> Target 2017-2018</t>
  </si>
  <si>
    <t xml:space="preserve"> Target 2018-2019</t>
  </si>
  <si>
    <t>Compensation of Employees</t>
  </si>
  <si>
    <t>Use of Goods and Services</t>
  </si>
  <si>
    <t>Consumption of Fixed Capital</t>
  </si>
  <si>
    <t>Interest</t>
  </si>
  <si>
    <t>Subsidies</t>
  </si>
  <si>
    <t>Social Benefits</t>
  </si>
  <si>
    <t>Other Expenses</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</si>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</sst>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_);_(* \(#,##0\);_(* &quot;-&quot;??_);_(@_)"/>
    <numFmt numFmtId="165" formatCode="&quot;$&quot;#,##0;\-&quot;$&quot;#,##0"/>
    <numFmt numFmtId="166" formatCode="&quot;$&quot;#,##0.00;\-&quot;$&quot;#,##0.00"/>
    <numFmt numFmtId="167" formatCode="_-* #,##0_-;\-* #,##0_-;_-* &quot;-&quot;_-;_-@_-"/>
    <numFmt numFmtId="168" formatCode="0.0%"/>
    <numFmt numFmtId="169" formatCode="_-* #,##0.00_-;\-* #,##0.00_-;_-* &quot;-&quot;??_-;_-@_-"/>
    <numFmt numFmtId="170" formatCode="###0;###0"/>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8"/>
      <name val="Calibri"/>
      <family val="2"/>
      <scheme val="minor"/>
    </font>
    <font>
      <b/>
      <sz val="8"/>
      <name val="Calibri"/>
      <family val="2"/>
      <scheme val="minor"/>
    </font>
    <font>
      <b/>
      <sz val="8"/>
      <color rgb="FF000000"/>
      <name val="Calibri"/>
      <family val="2"/>
      <scheme val="minor"/>
    </font>
    <font>
      <sz val="10"/>
      <color theme="1"/>
      <name val="Calibri"/>
      <family val="2"/>
      <scheme val="minor"/>
    </font>
    <font>
      <b/>
      <u/>
      <sz val="8"/>
      <name val="Calibri"/>
      <family val="2"/>
      <scheme val="minor"/>
    </font>
    <font>
      <i/>
      <sz val="8"/>
      <name val="Calibri"/>
      <family val="2"/>
      <scheme val="minor"/>
    </font>
    <font>
      <i/>
      <sz val="8"/>
      <color rgb="FF000000"/>
      <name val="Calibri"/>
      <family val="2"/>
      <scheme val="minor"/>
    </font>
    <font>
      <sz val="8"/>
      <color rgb="FF000000"/>
      <name val="Calibri"/>
      <family val="2"/>
      <scheme val="minor"/>
    </font>
    <font>
      <sz val="8"/>
      <color theme="0"/>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8"/>
      <color rgb="FFFF0000"/>
      <name val="Arial"/>
      <family val="2"/>
    </font>
    <font>
      <sz val="11"/>
      <color rgb="FFFF0000"/>
      <name val="Arial"/>
      <family val="2"/>
    </font>
    <font>
      <sz val="11"/>
      <color theme="1"/>
      <name val="Arial"/>
      <family val="2"/>
    </font>
    <font>
      <b/>
      <sz val="8"/>
      <color theme="1"/>
      <name val="Arial"/>
      <family val="2"/>
    </font>
    <font>
      <sz val="12"/>
      <name val="Arial"/>
      <family val="2"/>
    </font>
    <font>
      <sz val="8"/>
      <color indexed="8"/>
      <name val="Arial"/>
      <family val="2"/>
    </font>
    <font>
      <b/>
      <sz val="8"/>
      <color indexed="8"/>
      <name val="Arial"/>
      <family val="2"/>
    </font>
    <font>
      <sz val="12"/>
      <color indexed="8"/>
      <name val="Arial"/>
      <family val="2"/>
    </font>
    <font>
      <sz val="8"/>
      <color theme="1"/>
      <name val="Arial"/>
      <family val="2"/>
    </font>
    <font>
      <sz val="8"/>
      <color rgb="FF000000"/>
      <name val="Arial"/>
      <family val="2"/>
    </font>
    <font>
      <b/>
      <sz val="8"/>
      <name val="Arial"/>
      <family val="2"/>
    </font>
    <font>
      <sz val="9"/>
      <color theme="1"/>
      <name val="Arial"/>
      <family val="2"/>
    </font>
    <font>
      <b/>
      <u/>
      <sz val="8"/>
      <color indexed="8"/>
      <name val="Arial"/>
      <family val="2"/>
    </font>
    <font>
      <sz val="8"/>
      <name val="Arial"/>
      <family val="2"/>
    </font>
    <font>
      <sz val="8"/>
      <color rgb="FF000000"/>
      <name val="Arial Narrow"/>
      <family val="2"/>
    </font>
    <font>
      <sz val="8"/>
      <color theme="0"/>
      <name val="Arial"/>
      <family val="2"/>
    </font>
    <font>
      <vertAlign val="superscript"/>
      <sz val="9"/>
      <color rgb="FF000000"/>
      <name val="Arial Narrow"/>
      <family val="2"/>
    </font>
    <font>
      <sz val="9"/>
      <color rgb="FF000000"/>
      <name val="Arial Narrow"/>
      <family val="2"/>
    </font>
    <font>
      <sz val="6"/>
      <color theme="1"/>
      <name val="Arial"/>
      <family val="2"/>
    </font>
    <font>
      <sz val="10"/>
      <color theme="1"/>
      <name val="Arial"/>
      <family val="2"/>
    </font>
    <font>
      <b/>
      <sz val="11"/>
      <name val="Arial"/>
      <family val="2"/>
    </font>
    <font>
      <i/>
      <sz val="8"/>
      <color theme="1"/>
      <name val="Arial"/>
      <family val="2"/>
    </font>
    <font>
      <b/>
      <sz val="11"/>
      <color theme="1"/>
      <name val="Arial"/>
      <family val="2"/>
    </font>
    <font>
      <sz val="9"/>
      <color rgb="FF000000"/>
      <name val="Arial"/>
      <family val="2"/>
    </font>
    <font>
      <b/>
      <i/>
      <sz val="8"/>
      <color rgb="FFFF0000"/>
      <name val="Arial"/>
      <family val="2"/>
    </font>
    <font>
      <sz val="7.5"/>
      <color theme="1"/>
      <name val="Arial"/>
      <family val="2"/>
    </font>
    <font>
      <sz val="7.25"/>
      <color theme="1"/>
      <name val="Arial"/>
      <family val="2"/>
    </font>
    <font>
      <sz val="7"/>
      <color theme="1"/>
      <name val="Arial"/>
      <family val="2"/>
    </font>
    <font>
      <sz val="8"/>
      <color theme="1"/>
      <name val="Times New Roman"/>
      <family val="1"/>
    </font>
    <font>
      <sz val="8"/>
      <color rgb="FF000000"/>
      <name val="Times New Roman"/>
      <family val="1"/>
    </font>
    <font>
      <sz val="11"/>
      <name val="Arial"/>
      <family val="2"/>
    </font>
    <font>
      <b/>
      <sz val="8"/>
      <color rgb="FF000000"/>
      <name val="Arial"/>
      <family val="2"/>
    </font>
    <font>
      <b/>
      <sz val="12"/>
      <name val="Arial"/>
      <family val="2"/>
    </font>
    <font>
      <sz val="10"/>
      <name val="Arial"/>
      <family val="2"/>
    </font>
    <font>
      <sz val="11"/>
      <color indexed="8"/>
      <name val="Calibri"/>
      <family val="2"/>
    </font>
    <font>
      <b/>
      <sz val="10"/>
      <name val="Arial"/>
      <family val="2"/>
    </font>
    <font>
      <sz val="12"/>
      <name val="Arial Black"/>
      <family val="2"/>
    </font>
    <font>
      <b/>
      <sz val="12"/>
      <name val="Arial Black"/>
      <family val="2"/>
    </font>
    <font>
      <b/>
      <sz val="12"/>
      <color indexed="8"/>
      <name val="Arial"/>
      <family val="2"/>
    </font>
    <font>
      <sz val="12"/>
      <color theme="1"/>
      <name val="Arial"/>
      <family val="2"/>
    </font>
    <font>
      <b/>
      <u/>
      <sz val="12"/>
      <color indexed="8"/>
      <name val="Arial"/>
      <family val="2"/>
    </font>
    <font>
      <b/>
      <u val="double"/>
      <sz val="12"/>
      <color indexed="8"/>
      <name val="Arial"/>
      <family val="2"/>
    </font>
    <font>
      <b/>
      <u/>
      <sz val="12"/>
      <name val="Arial"/>
      <family val="2"/>
    </font>
    <font>
      <b/>
      <u/>
      <sz val="11"/>
      <color theme="1"/>
      <name val="Calibri"/>
      <family val="2"/>
      <scheme val="minor"/>
    </font>
    <font>
      <sz val="16"/>
      <name val="Arial"/>
      <family val="2"/>
    </font>
    <font>
      <u/>
      <sz val="12"/>
      <name val="Arial"/>
      <family val="2"/>
    </font>
    <font>
      <sz val="11"/>
      <color indexed="10"/>
      <name val="Garamond"/>
      <family val="1"/>
      <charset val="204"/>
    </font>
    <font>
      <b/>
      <sz val="14"/>
      <color indexed="8"/>
      <name val="Arial"/>
      <family val="2"/>
    </font>
    <font>
      <b/>
      <sz val="12"/>
      <color theme="1"/>
      <name val="Times New Roman"/>
      <family val="1"/>
    </font>
    <font>
      <sz val="12"/>
      <color theme="1"/>
      <name val="Times New Roman"/>
      <family val="1"/>
    </font>
    <font>
      <i/>
      <sz val="12"/>
      <color theme="1"/>
      <name val="Times New Roman"/>
      <family val="1"/>
    </font>
    <font>
      <b/>
      <sz val="14"/>
      <name val="Arial"/>
      <family val="2"/>
    </font>
    <font>
      <b/>
      <sz val="14"/>
      <name val="Times New Roman"/>
      <family val="1"/>
    </font>
    <font>
      <b/>
      <sz val="12"/>
      <name val="Times New Roman"/>
      <family val="1"/>
    </font>
    <font>
      <b/>
      <sz val="10"/>
      <color rgb="FFFF0000"/>
      <name val="Calibri"/>
      <family val="2"/>
      <scheme val="minor"/>
    </font>
    <font>
      <sz val="8"/>
      <color rgb="FFFF0000"/>
      <name val="Symbol"/>
      <family val="1"/>
      <charset val="2"/>
    </font>
    <font>
      <sz val="7"/>
      <color rgb="FFFF0000"/>
      <name val="Times New Roman"/>
      <family val="1"/>
    </font>
    <font>
      <sz val="8"/>
      <color rgb="FFFF0000"/>
      <name val="Calibri"/>
      <family val="2"/>
      <scheme val="minor"/>
    </font>
    <font>
      <sz val="10"/>
      <color rgb="FF000000"/>
      <name val="Cambria"/>
      <family val="1"/>
    </font>
    <font>
      <sz val="8"/>
      <color rgb="FF3366FF"/>
      <name val="Symbol"/>
      <family val="1"/>
      <charset val="2"/>
    </font>
    <font>
      <sz val="7"/>
      <color rgb="FF3366FF"/>
      <name val="Times New Roman"/>
      <family val="1"/>
    </font>
    <font>
      <sz val="8"/>
      <color rgb="FF3366FF"/>
      <name val="Calibri"/>
      <family val="2"/>
      <scheme val="minor"/>
    </font>
    <font>
      <b/>
      <sz val="8"/>
      <color rgb="FFFF0000"/>
      <name val="Calibri"/>
      <family val="2"/>
      <scheme val="minor"/>
    </font>
    <font>
      <b/>
      <i/>
      <sz val="8"/>
      <color rgb="FF000000"/>
      <name val="Calibri"/>
      <family val="2"/>
      <scheme val="minor"/>
    </font>
  </fonts>
  <fills count="26">
    <fill>
      <patternFill patternType="none"/>
    </fill>
    <fill>
      <patternFill patternType="gray125"/>
    </fill>
    <fill>
      <patternFill patternType="solid">
        <fgColor theme="2" tint="-0.74999237037263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5117038483843"/>
        <bgColor indexed="64"/>
      </patternFill>
    </fill>
    <fill>
      <patternFill patternType="solid">
        <fgColor rgb="FFFDE9D9"/>
        <bgColor indexed="64"/>
      </patternFill>
    </fill>
    <fill>
      <patternFill patternType="solid">
        <fgColor rgb="FFDBE5F1"/>
        <bgColor indexed="64"/>
      </patternFill>
    </fill>
    <fill>
      <patternFill patternType="solid">
        <fgColor rgb="FFF2F2F2"/>
        <bgColor indexed="64"/>
      </patternFill>
    </fill>
    <fill>
      <patternFill patternType="solid">
        <fgColor indexed="42"/>
        <bgColor indexed="64"/>
      </patternFill>
    </fill>
    <fill>
      <patternFill patternType="solid">
        <fgColor indexed="9"/>
        <bgColor indexed="64"/>
      </patternFill>
    </fill>
    <fill>
      <patternFill patternType="solid">
        <fgColor indexed="29"/>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indexed="9"/>
      </patternFill>
    </fill>
    <fill>
      <patternFill patternType="solid">
        <fgColor indexed="9"/>
        <bgColor indexed="8"/>
      </patternFill>
    </fill>
    <fill>
      <patternFill patternType="solid">
        <fgColor theme="4" tint="0.59999389629810485"/>
        <bgColor indexed="64"/>
      </patternFill>
    </fill>
    <fill>
      <patternFill patternType="solid">
        <fgColor rgb="FFDCE6F1"/>
        <bgColor indexed="64"/>
      </patternFill>
    </fill>
    <fill>
      <patternFill patternType="darkUp">
        <bgColor rgb="FFB4B4B4"/>
      </patternFill>
    </fill>
    <fill>
      <patternFill patternType="solid">
        <fgColor theme="2" tint="-9.9978637043366805E-2"/>
        <bgColor indexed="64"/>
      </patternFill>
    </fill>
  </fills>
  <borders count="60">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double">
        <color indexed="64"/>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style="medium">
        <color rgb="FF000000"/>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8"/>
      </top>
      <bottom/>
      <diagonal/>
    </border>
    <border>
      <left/>
      <right/>
      <top style="double">
        <color indexed="8"/>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8"/>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8"/>
      </left>
      <right/>
      <top style="thin">
        <color indexed="8"/>
      </top>
      <bottom/>
      <diagonal/>
    </border>
    <border>
      <left style="medium">
        <color indexed="8"/>
      </left>
      <right/>
      <top style="medium">
        <color indexed="8"/>
      </top>
      <bottom/>
      <diagonal/>
    </border>
    <border>
      <left/>
      <right style="double">
        <color indexed="64"/>
      </right>
      <top/>
      <bottom/>
      <diagonal/>
    </border>
    <border>
      <left style="thin">
        <color theme="0"/>
      </left>
      <right style="thin">
        <color theme="0"/>
      </right>
      <top/>
      <bottom style="thin">
        <color theme="0"/>
      </bottom>
      <diagonal/>
    </border>
    <border>
      <left/>
      <right/>
      <top/>
      <bottom style="thin">
        <color theme="0"/>
      </bottom>
      <diagonal/>
    </border>
    <border>
      <left style="double">
        <color indexed="64"/>
      </left>
      <right style="thin">
        <color theme="0"/>
      </right>
      <top/>
      <bottom style="thin">
        <color theme="0"/>
      </bottom>
      <diagonal/>
    </border>
    <border>
      <left/>
      <right style="thin">
        <color theme="0"/>
      </right>
      <top/>
      <bottom style="thin">
        <color theme="0"/>
      </bottom>
      <diagonal/>
    </border>
    <border>
      <left style="double">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8"/>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top/>
      <bottom style="medium">
        <color rgb="FF000000"/>
      </bottom>
      <diagonal/>
    </border>
    <border>
      <left/>
      <right/>
      <top style="medium">
        <color rgb="FF000000"/>
      </top>
      <bottom style="medium">
        <color rgb="FF000000"/>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43" fontId="50" fillId="0" borderId="0" applyFont="0" applyFill="0" applyBorder="0" applyAlignment="0" applyProtection="0"/>
    <xf numFmtId="0" fontId="1" fillId="0" borderId="0"/>
    <xf numFmtId="0" fontId="20" fillId="0" borderId="0"/>
    <xf numFmtId="169" fontId="1" fillId="0" borderId="0" applyFont="0" applyFill="0" applyBorder="0" applyAlignment="0" applyProtection="0"/>
    <xf numFmtId="0" fontId="49" fillId="0" borderId="0"/>
  </cellStyleXfs>
  <cellXfs count="836">
    <xf numFmtId="0" fontId="0" fillId="0" borderId="0" xfId="0"/>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applyAlignment="1">
      <alignment horizontal="fill"/>
    </xf>
    <xf numFmtId="164" fontId="5" fillId="0" borderId="0" xfId="1" applyNumberFormat="1" applyFont="1" applyFill="1" applyBorder="1" applyAlignment="1">
      <alignment horizontal="fill"/>
    </xf>
    <xf numFmtId="164" fontId="6" fillId="0" borderId="0" xfId="1" applyNumberFormat="1" applyFont="1" applyFill="1" applyBorder="1" applyAlignment="1">
      <alignment horizontal="fill"/>
    </xf>
    <xf numFmtId="0" fontId="7" fillId="0" borderId="0" xfId="0" applyFont="1"/>
    <xf numFmtId="0" fontId="3" fillId="0" borderId="0" xfId="0" applyNumberFormat="1" applyFont="1" applyFill="1" applyBorder="1" applyAlignment="1"/>
    <xf numFmtId="0" fontId="8" fillId="0" borderId="0" xfId="0" applyNumberFormat="1" applyFont="1" applyFill="1" applyBorder="1" applyAlignment="1">
      <alignment horizontal="left"/>
    </xf>
    <xf numFmtId="0" fontId="8" fillId="0" borderId="0" xfId="0" applyNumberFormat="1" applyFont="1" applyFill="1" applyBorder="1" applyAlignment="1">
      <alignment horizontal="left" vertical="center"/>
    </xf>
    <xf numFmtId="0" fontId="5" fillId="0" borderId="1" xfId="0" applyNumberFormat="1" applyFont="1" applyFill="1" applyBorder="1" applyAlignment="1">
      <alignment horizontal="center" vertical="center"/>
    </xf>
    <xf numFmtId="0" fontId="3" fillId="0" borderId="0" xfId="0" applyNumberFormat="1" applyFont="1" applyFill="1" applyBorder="1" applyAlignment="1">
      <alignment vertical="top"/>
    </xf>
    <xf numFmtId="0" fontId="4" fillId="0" borderId="0" xfId="0" applyNumberFormat="1" applyFont="1" applyFill="1" applyBorder="1" applyAlignment="1">
      <alignment horizontal="center" vertical="top"/>
    </xf>
    <xf numFmtId="0" fontId="6"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top"/>
    </xf>
    <xf numFmtId="164" fontId="6" fillId="0" borderId="2" xfId="1" applyNumberFormat="1" applyFont="1" applyFill="1" applyBorder="1" applyAlignment="1">
      <alignment horizontal="center" vertical="center" wrapText="1"/>
    </xf>
    <xf numFmtId="0" fontId="4" fillId="0" borderId="0" xfId="0" applyNumberFormat="1" applyFont="1" applyFill="1" applyBorder="1" applyAlignment="1">
      <alignment horizontal="left" vertical="top"/>
    </xf>
    <xf numFmtId="164" fontId="4" fillId="0" borderId="0" xfId="0" applyNumberFormat="1" applyFont="1" applyFill="1" applyBorder="1" applyAlignment="1">
      <alignment horizontal="left" vertical="top"/>
    </xf>
    <xf numFmtId="0" fontId="4" fillId="0" borderId="0" xfId="0" applyNumberFormat="1" applyFont="1" applyFill="1" applyBorder="1" applyAlignment="1">
      <alignment vertical="top"/>
    </xf>
    <xf numFmtId="164" fontId="4" fillId="0" borderId="0" xfId="1" applyNumberFormat="1" applyFont="1" applyFill="1" applyBorder="1" applyAlignment="1">
      <alignment vertical="top"/>
    </xf>
    <xf numFmtId="0" fontId="9" fillId="0" borderId="0" xfId="0" applyNumberFormat="1" applyFont="1" applyFill="1" applyBorder="1" applyAlignment="1">
      <alignment horizontal="left" vertical="top"/>
    </xf>
    <xf numFmtId="164" fontId="10" fillId="0" borderId="0" xfId="1" applyNumberFormat="1" applyFont="1" applyFill="1" applyBorder="1" applyAlignment="1">
      <alignment vertical="top"/>
    </xf>
    <xf numFmtId="0" fontId="5" fillId="0" borderId="0" xfId="0" applyNumberFormat="1" applyFont="1" applyFill="1" applyBorder="1" applyAlignment="1">
      <alignment horizontal="left"/>
    </xf>
    <xf numFmtId="164" fontId="6" fillId="0" borderId="3" xfId="1" applyNumberFormat="1" applyFont="1" applyFill="1" applyBorder="1" applyAlignment="1"/>
    <xf numFmtId="164" fontId="4" fillId="0" borderId="0" xfId="0" applyNumberFormat="1" applyFont="1" applyFill="1" applyBorder="1" applyAlignment="1">
      <alignment vertical="top"/>
    </xf>
    <xf numFmtId="0" fontId="9" fillId="0" borderId="0" xfId="0" applyNumberFormat="1" applyFont="1" applyFill="1" applyBorder="1" applyAlignment="1">
      <alignment vertical="top"/>
    </xf>
    <xf numFmtId="164" fontId="11" fillId="0" borderId="0" xfId="1" applyNumberFormat="1" applyFont="1" applyFill="1" applyBorder="1" applyAlignment="1">
      <alignment vertical="top"/>
    </xf>
    <xf numFmtId="164" fontId="4" fillId="0" borderId="0" xfId="0" applyNumberFormat="1" applyFont="1" applyFill="1" applyBorder="1" applyAlignment="1">
      <alignment horizontal="center" vertical="top"/>
    </xf>
    <xf numFmtId="0" fontId="5" fillId="0" borderId="0" xfId="0" applyNumberFormat="1" applyFont="1" applyFill="1" applyBorder="1" applyAlignment="1">
      <alignment vertical="top"/>
    </xf>
    <xf numFmtId="164" fontId="6" fillId="0" borderId="4" xfId="1" applyNumberFormat="1" applyFont="1" applyFill="1" applyBorder="1" applyAlignment="1"/>
    <xf numFmtId="0" fontId="5" fillId="0" borderId="5" xfId="0" applyNumberFormat="1" applyFont="1" applyFill="1" applyBorder="1" applyAlignment="1">
      <alignment horizontal="left" vertical="top"/>
    </xf>
    <xf numFmtId="0" fontId="5" fillId="0" borderId="5" xfId="0" applyNumberFormat="1" applyFont="1" applyFill="1" applyBorder="1" applyAlignment="1">
      <alignment vertical="top"/>
    </xf>
    <xf numFmtId="164" fontId="5" fillId="0" borderId="5" xfId="1" applyNumberFormat="1" applyFont="1" applyFill="1" applyBorder="1" applyAlignment="1">
      <alignment vertical="top"/>
    </xf>
    <xf numFmtId="164" fontId="6" fillId="0" borderId="4" xfId="1" applyNumberFormat="1" applyFont="1" applyFill="1" applyBorder="1" applyAlignment="1">
      <alignment vertical="top"/>
    </xf>
    <xf numFmtId="164" fontId="6" fillId="0" borderId="0" xfId="1" applyNumberFormat="1" applyFont="1" applyFill="1" applyBorder="1" applyAlignment="1">
      <alignment vertical="top"/>
    </xf>
    <xf numFmtId="164" fontId="5" fillId="0" borderId="0" xfId="1" applyNumberFormat="1" applyFont="1" applyFill="1" applyBorder="1" applyAlignment="1">
      <alignment vertical="top"/>
    </xf>
    <xf numFmtId="0" fontId="3"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3" fontId="4" fillId="0" borderId="0" xfId="0" applyNumberFormat="1" applyFont="1" applyFill="1" applyBorder="1" applyAlignment="1">
      <alignment vertical="center"/>
    </xf>
    <xf numFmtId="164" fontId="6" fillId="0" borderId="0" xfId="1" applyNumberFormat="1" applyFont="1" applyFill="1" applyBorder="1" applyAlignment="1">
      <alignment vertical="center"/>
    </xf>
    <xf numFmtId="164" fontId="4" fillId="0" borderId="0" xfId="1" applyNumberFormat="1" applyFont="1" applyFill="1" applyBorder="1" applyAlignment="1">
      <alignment vertical="center"/>
    </xf>
    <xf numFmtId="164" fontId="11" fillId="0" borderId="0" xfId="1" applyNumberFormat="1" applyFont="1" applyFill="1" applyBorder="1" applyAlignment="1">
      <alignment vertical="center"/>
    </xf>
    <xf numFmtId="3" fontId="6"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2"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164" fontId="11" fillId="0" borderId="6" xfId="1" applyNumberFormat="1" applyFont="1" applyFill="1" applyBorder="1" applyAlignment="1">
      <alignment vertical="center"/>
    </xf>
    <xf numFmtId="3" fontId="5" fillId="0" borderId="0" xfId="0" applyNumberFormat="1" applyFont="1" applyFill="1" applyBorder="1" applyAlignment="1">
      <alignment vertical="center"/>
    </xf>
    <xf numFmtId="164" fontId="6" fillId="0" borderId="7" xfId="1" applyNumberFormat="1" applyFont="1" applyFill="1" applyBorder="1" applyAlignment="1">
      <alignment vertical="center"/>
    </xf>
    <xf numFmtId="0" fontId="5" fillId="0" borderId="0" xfId="0" applyNumberFormat="1" applyFont="1" applyFill="1" applyBorder="1" applyAlignment="1">
      <alignment vertical="center"/>
    </xf>
    <xf numFmtId="0" fontId="4" fillId="0" borderId="0" xfId="0" applyNumberFormat="1" applyFont="1" applyFill="1" applyBorder="1" applyAlignment="1">
      <alignment vertical="center"/>
    </xf>
    <xf numFmtId="164" fontId="11" fillId="0" borderId="8" xfId="1" applyNumberFormat="1" applyFont="1" applyFill="1" applyBorder="1" applyAlignment="1">
      <alignment vertical="center"/>
    </xf>
    <xf numFmtId="0" fontId="5" fillId="0" borderId="0"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7" xfId="0" applyNumberFormat="1" applyFont="1" applyFill="1" applyBorder="1" applyAlignment="1">
      <alignment vertical="center" wrapText="1"/>
    </xf>
    <xf numFmtId="164" fontId="11" fillId="0" borderId="7" xfId="1" applyNumberFormat="1" applyFont="1" applyFill="1" applyBorder="1" applyAlignment="1">
      <alignment horizontal="right" vertical="center"/>
    </xf>
    <xf numFmtId="0" fontId="11" fillId="0" borderId="0" xfId="0" applyNumberFormat="1" applyFont="1" applyFill="1" applyBorder="1" applyAlignment="1">
      <alignment vertical="center"/>
    </xf>
    <xf numFmtId="164" fontId="6" fillId="0" borderId="7" xfId="1" applyNumberFormat="1" applyFont="1" applyFill="1" applyBorder="1" applyAlignment="1">
      <alignment horizontal="right" vertical="center"/>
    </xf>
    <xf numFmtId="164" fontId="11" fillId="0" borderId="9" xfId="1" applyNumberFormat="1" applyFont="1" applyFill="1" applyBorder="1" applyAlignment="1">
      <alignment vertical="center"/>
    </xf>
    <xf numFmtId="0" fontId="4" fillId="0" borderId="2" xfId="0" applyNumberFormat="1" applyFont="1" applyFill="1" applyBorder="1" applyAlignment="1">
      <alignment vertical="center"/>
    </xf>
    <xf numFmtId="164" fontId="4" fillId="0" borderId="9" xfId="1" applyNumberFormat="1" applyFont="1" applyFill="1" applyBorder="1" applyAlignment="1">
      <alignment vertical="center"/>
    </xf>
    <xf numFmtId="164" fontId="4" fillId="0" borderId="7" xfId="1" applyNumberFormat="1" applyFont="1" applyFill="1" applyBorder="1" applyAlignment="1">
      <alignment vertical="center"/>
    </xf>
    <xf numFmtId="164" fontId="6" fillId="0" borderId="10" xfId="1" applyNumberFormat="1" applyFont="1" applyFill="1" applyBorder="1" applyAlignment="1">
      <alignment vertical="center"/>
    </xf>
    <xf numFmtId="0" fontId="4" fillId="0" borderId="8" xfId="0" applyNumberFormat="1" applyFont="1" applyFill="1" applyBorder="1" applyAlignment="1">
      <alignment vertical="center"/>
    </xf>
    <xf numFmtId="164" fontId="4" fillId="0" borderId="0" xfId="0" applyNumberFormat="1" applyFont="1" applyFill="1" applyBorder="1" applyAlignment="1">
      <alignment vertical="center"/>
    </xf>
    <xf numFmtId="164" fontId="6" fillId="0" borderId="2" xfId="1" applyNumberFormat="1" applyFont="1" applyFill="1" applyBorder="1" applyAlignment="1">
      <alignment vertical="center"/>
    </xf>
    <xf numFmtId="164" fontId="11" fillId="0" borderId="0" xfId="1" applyNumberFormat="1" applyFont="1" applyFill="1" applyBorder="1" applyAlignment="1">
      <alignment horizontal="right" vertical="center"/>
    </xf>
    <xf numFmtId="3" fontId="5"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left" vertical="center"/>
    </xf>
    <xf numFmtId="164" fontId="12" fillId="2" borderId="0" xfId="1" applyNumberFormat="1" applyFont="1" applyFill="1" applyBorder="1" applyAlignment="1">
      <alignment vertical="center"/>
    </xf>
    <xf numFmtId="164" fontId="12" fillId="2" borderId="7" xfId="1" applyNumberFormat="1" applyFont="1" applyFill="1" applyBorder="1" applyAlignment="1">
      <alignment vertical="center"/>
    </xf>
    <xf numFmtId="164" fontId="11" fillId="0" borderId="7" xfId="1" applyNumberFormat="1" applyFont="1" applyFill="1" applyBorder="1" applyAlignment="1">
      <alignment vertical="center"/>
    </xf>
    <xf numFmtId="1" fontId="3" fillId="0" borderId="0" xfId="0" applyNumberFormat="1" applyFont="1" applyFill="1" applyBorder="1" applyAlignment="1">
      <alignment vertical="center"/>
    </xf>
    <xf numFmtId="0" fontId="4" fillId="0" borderId="0" xfId="0" applyFont="1" applyFill="1" applyBorder="1" applyAlignment="1">
      <alignment horizontal="center"/>
    </xf>
    <xf numFmtId="0" fontId="3" fillId="0" borderId="0" xfId="0" applyNumberFormat="1" applyFont="1" applyFill="1" applyBorder="1" applyAlignment="1">
      <alignment vertical="center" wrapText="1"/>
    </xf>
    <xf numFmtId="0" fontId="11" fillId="0" borderId="0" xfId="0" applyNumberFormat="1" applyFont="1" applyFill="1" applyBorder="1" applyAlignment="1">
      <alignment horizontal="center" vertical="center"/>
    </xf>
    <xf numFmtId="0" fontId="4" fillId="0" borderId="0" xfId="0" applyNumberFormat="1" applyFont="1" applyFill="1" applyBorder="1" applyAlignment="1"/>
    <xf numFmtId="0" fontId="5" fillId="0" borderId="0" xfId="0" applyNumberFormat="1" applyFont="1" applyFill="1" applyBorder="1" applyAlignment="1">
      <alignment horizontal="left" vertical="center"/>
    </xf>
    <xf numFmtId="164" fontId="6" fillId="0" borderId="9" xfId="1" applyNumberFormat="1" applyFont="1" applyFill="1" applyBorder="1" applyAlignment="1">
      <alignment vertical="center"/>
    </xf>
    <xf numFmtId="0" fontId="13" fillId="0" borderId="0" xfId="0" applyFont="1" applyAlignment="1">
      <alignment horizontal="center"/>
    </xf>
    <xf numFmtId="0" fontId="13" fillId="0" borderId="0" xfId="0" applyFont="1"/>
    <xf numFmtId="0" fontId="14" fillId="0" borderId="0" xfId="0" applyFont="1"/>
    <xf numFmtId="164" fontId="11" fillId="0" borderId="11" xfId="1" applyNumberFormat="1" applyFont="1" applyFill="1" applyBorder="1" applyAlignment="1">
      <alignment vertical="center"/>
    </xf>
    <xf numFmtId="164" fontId="11" fillId="0" borderId="0" xfId="1" applyNumberFormat="1" applyFont="1" applyFill="1" applyBorder="1" applyAlignment="1"/>
    <xf numFmtId="3" fontId="5" fillId="0" borderId="7" xfId="0" applyNumberFormat="1" applyFont="1" applyFill="1" applyBorder="1" applyAlignment="1">
      <alignment vertical="center"/>
    </xf>
    <xf numFmtId="0" fontId="5" fillId="0" borderId="7" xfId="0" applyNumberFormat="1" applyFont="1" applyFill="1" applyBorder="1" applyAlignment="1">
      <alignment vertical="center"/>
    </xf>
    <xf numFmtId="164" fontId="11" fillId="0" borderId="12" xfId="1" applyNumberFormat="1" applyFont="1" applyFill="1" applyBorder="1" applyAlignment="1">
      <alignment vertical="center"/>
    </xf>
    <xf numFmtId="0" fontId="7" fillId="0" borderId="0" xfId="0" applyFont="1" applyFill="1"/>
    <xf numFmtId="164" fontId="5" fillId="0" borderId="0" xfId="1" applyNumberFormat="1" applyFont="1" applyFill="1" applyBorder="1" applyAlignment="1">
      <alignment vertical="center"/>
    </xf>
    <xf numFmtId="0" fontId="5" fillId="0" borderId="4" xfId="0" applyNumberFormat="1" applyFont="1" applyFill="1" applyBorder="1" applyAlignment="1">
      <alignment vertical="center"/>
    </xf>
    <xf numFmtId="164" fontId="6" fillId="0" borderId="4" xfId="1" applyNumberFormat="1" applyFont="1" applyFill="1" applyBorder="1" applyAlignment="1">
      <alignment horizontal="center" vertical="center" wrapText="1"/>
    </xf>
    <xf numFmtId="0" fontId="5" fillId="0" borderId="2" xfId="0" applyNumberFormat="1" applyFont="1" applyFill="1" applyBorder="1" applyAlignment="1">
      <alignment vertical="center"/>
    </xf>
    <xf numFmtId="0" fontId="15" fillId="0" borderId="0" xfId="0" applyFont="1"/>
    <xf numFmtId="164" fontId="13" fillId="0" borderId="0" xfId="1" applyNumberFormat="1" applyFont="1"/>
    <xf numFmtId="0" fontId="5"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164" fontId="5" fillId="0" borderId="7" xfId="1" applyNumberFormat="1" applyFont="1" applyFill="1" applyBorder="1" applyAlignment="1">
      <alignment vertical="center"/>
    </xf>
    <xf numFmtId="0" fontId="16" fillId="3" borderId="13" xfId="0" applyFont="1" applyFill="1" applyBorder="1" applyAlignment="1">
      <alignment horizontal="center" vertical="top" wrapText="1"/>
    </xf>
    <xf numFmtId="0" fontId="17" fillId="0" borderId="13" xfId="0" applyFont="1" applyBorder="1" applyAlignment="1">
      <alignment vertical="top" wrapText="1"/>
    </xf>
    <xf numFmtId="0" fontId="18" fillId="0" borderId="0" xfId="0" applyFont="1"/>
    <xf numFmtId="0" fontId="18" fillId="0" borderId="13" xfId="0" applyFont="1" applyBorder="1" applyAlignment="1">
      <alignment vertical="top" wrapText="1"/>
    </xf>
    <xf numFmtId="0" fontId="19" fillId="3" borderId="14" xfId="0" applyFont="1" applyFill="1" applyBorder="1" applyAlignment="1">
      <alignment horizontal="center" vertical="top" wrapText="1"/>
    </xf>
    <xf numFmtId="0" fontId="19" fillId="3" borderId="11" xfId="0" applyFont="1" applyFill="1" applyBorder="1" applyAlignment="1">
      <alignment horizontal="center" vertical="top" wrapText="1"/>
    </xf>
    <xf numFmtId="0" fontId="19" fillId="3" borderId="15" xfId="0" applyFont="1" applyFill="1" applyBorder="1" applyAlignment="1">
      <alignment horizontal="center" vertical="top" wrapText="1"/>
    </xf>
    <xf numFmtId="0" fontId="21" fillId="4" borderId="16" xfId="3" applyNumberFormat="1" applyFont="1" applyFill="1" applyBorder="1" applyAlignment="1">
      <alignment vertical="center"/>
    </xf>
    <xf numFmtId="0" fontId="21" fillId="4" borderId="0" xfId="3" applyNumberFormat="1" applyFont="1" applyFill="1" applyBorder="1" applyAlignment="1">
      <alignment vertical="center"/>
    </xf>
    <xf numFmtId="3" fontId="21" fillId="4" borderId="0" xfId="3" applyNumberFormat="1" applyFont="1" applyFill="1" applyBorder="1" applyAlignment="1">
      <alignment vertical="center"/>
    </xf>
    <xf numFmtId="3" fontId="21" fillId="4" borderId="17" xfId="3" applyNumberFormat="1" applyFont="1" applyFill="1" applyBorder="1" applyAlignment="1">
      <alignment vertical="center"/>
    </xf>
    <xf numFmtId="0" fontId="21" fillId="4" borderId="16" xfId="3" applyNumberFormat="1" applyFont="1" applyFill="1" applyBorder="1" applyAlignment="1">
      <alignment horizontal="fill" vertical="center"/>
    </xf>
    <xf numFmtId="0" fontId="21" fillId="4" borderId="0" xfId="3" applyNumberFormat="1" applyFont="1" applyFill="1" applyBorder="1" applyAlignment="1">
      <alignment horizontal="fill" vertical="center"/>
    </xf>
    <xf numFmtId="3" fontId="21" fillId="4" borderId="0" xfId="3" applyNumberFormat="1" applyFont="1" applyFill="1" applyBorder="1" applyAlignment="1">
      <alignment horizontal="fill" vertical="center"/>
    </xf>
    <xf numFmtId="165" fontId="22" fillId="4" borderId="17" xfId="3" applyNumberFormat="1" applyFont="1" applyFill="1" applyBorder="1" applyAlignment="1">
      <alignment horizontal="center" vertical="center"/>
    </xf>
    <xf numFmtId="0" fontId="21" fillId="4" borderId="1" xfId="3" applyNumberFormat="1" applyFont="1" applyFill="1" applyBorder="1" applyAlignment="1">
      <alignment horizontal="fill" vertical="center"/>
    </xf>
    <xf numFmtId="0" fontId="21" fillId="4" borderId="1" xfId="3" applyNumberFormat="1" applyFont="1" applyFill="1" applyBorder="1" applyAlignment="1">
      <alignment vertical="center"/>
    </xf>
    <xf numFmtId="0" fontId="21" fillId="4" borderId="18" xfId="3" applyNumberFormat="1" applyFont="1" applyFill="1" applyBorder="1" applyAlignment="1">
      <alignment vertical="center"/>
    </xf>
    <xf numFmtId="0" fontId="21" fillId="4" borderId="19" xfId="3" applyNumberFormat="1" applyFont="1" applyFill="1" applyBorder="1" applyAlignment="1">
      <alignment vertical="center"/>
    </xf>
    <xf numFmtId="3" fontId="21" fillId="4" borderId="19" xfId="3" applyNumberFormat="1" applyFont="1" applyFill="1" applyBorder="1" applyAlignment="1">
      <alignment vertical="center"/>
    </xf>
    <xf numFmtId="3" fontId="21" fillId="4" borderId="20" xfId="3" applyNumberFormat="1" applyFont="1" applyFill="1" applyBorder="1" applyAlignment="1">
      <alignment vertical="center"/>
    </xf>
    <xf numFmtId="0" fontId="21" fillId="4" borderId="21" xfId="3" applyNumberFormat="1" applyFont="1" applyFill="1" applyBorder="1" applyAlignment="1">
      <alignment vertical="center"/>
    </xf>
    <xf numFmtId="1" fontId="21" fillId="4" borderId="22" xfId="3" applyNumberFormat="1" applyFont="1" applyFill="1" applyBorder="1" applyAlignment="1">
      <alignment vertical="center"/>
    </xf>
    <xf numFmtId="0" fontId="21" fillId="4" borderId="22" xfId="3" applyNumberFormat="1" applyFont="1" applyFill="1" applyBorder="1" applyAlignment="1">
      <alignment vertical="center"/>
    </xf>
    <xf numFmtId="0" fontId="21" fillId="4" borderId="3" xfId="3" applyNumberFormat="1" applyFont="1" applyFill="1" applyBorder="1" applyAlignment="1">
      <alignment vertical="center"/>
    </xf>
    <xf numFmtId="3" fontId="21" fillId="4" borderId="22" xfId="3" applyNumberFormat="1" applyFont="1" applyFill="1" applyBorder="1" applyAlignment="1">
      <alignment vertical="center"/>
    </xf>
    <xf numFmtId="3" fontId="21" fillId="4" borderId="23" xfId="3" applyNumberFormat="1" applyFont="1" applyFill="1" applyBorder="1" applyAlignment="1">
      <alignment vertical="center"/>
    </xf>
    <xf numFmtId="0" fontId="23" fillId="0" borderId="24" xfId="3" applyNumberFormat="1" applyFont="1" applyFill="1" applyBorder="1" applyAlignment="1">
      <alignment horizontal="center" vertical="center"/>
    </xf>
    <xf numFmtId="0" fontId="23" fillId="0" borderId="1" xfId="3" applyNumberFormat="1" applyFont="1" applyFill="1" applyBorder="1" applyAlignment="1">
      <alignment horizontal="center" vertical="center"/>
    </xf>
    <xf numFmtId="0" fontId="23" fillId="0" borderId="25" xfId="3" applyNumberFormat="1" applyFont="1" applyFill="1" applyBorder="1" applyAlignment="1">
      <alignment horizontal="center" vertical="center"/>
    </xf>
    <xf numFmtId="0" fontId="19" fillId="5" borderId="13" xfId="0" applyFont="1" applyFill="1" applyBorder="1" applyAlignment="1">
      <alignment horizontal="center" vertical="top" wrapText="1"/>
    </xf>
    <xf numFmtId="0" fontId="24" fillId="0" borderId="13" xfId="0" applyFont="1" applyBorder="1" applyAlignment="1">
      <alignment vertical="top" wrapText="1"/>
    </xf>
    <xf numFmtId="0" fontId="19" fillId="5" borderId="13" xfId="0" applyFont="1" applyFill="1" applyBorder="1" applyAlignment="1">
      <alignment vertical="top" wrapText="1"/>
    </xf>
    <xf numFmtId="0" fontId="19" fillId="5" borderId="13" xfId="0" applyFont="1" applyFill="1" applyBorder="1" applyAlignment="1">
      <alignment vertical="top" wrapText="1"/>
    </xf>
    <xf numFmtId="0" fontId="19" fillId="5" borderId="13" xfId="0" applyFont="1" applyFill="1" applyBorder="1" applyAlignment="1">
      <alignment horizontal="center" vertical="top" wrapText="1"/>
    </xf>
    <xf numFmtId="0" fontId="24" fillId="6" borderId="13" xfId="0" applyFont="1" applyFill="1" applyBorder="1" applyAlignment="1">
      <alignment horizontal="center" vertical="top" wrapText="1"/>
    </xf>
    <xf numFmtId="0" fontId="24" fillId="6" borderId="13" xfId="0" applyFont="1" applyFill="1" applyBorder="1" applyAlignment="1">
      <alignment vertical="top" wrapText="1"/>
    </xf>
    <xf numFmtId="164" fontId="24" fillId="0" borderId="13" xfId="1" applyNumberFormat="1" applyFont="1" applyBorder="1" applyAlignment="1">
      <alignment vertical="top"/>
    </xf>
    <xf numFmtId="164" fontId="24" fillId="7" borderId="13" xfId="1" applyNumberFormat="1" applyFont="1" applyFill="1" applyBorder="1" applyAlignment="1">
      <alignment vertical="top" wrapText="1"/>
    </xf>
    <xf numFmtId="0" fontId="19" fillId="8" borderId="13" xfId="0" applyFont="1" applyFill="1" applyBorder="1" applyAlignment="1">
      <alignment vertical="top" wrapText="1"/>
    </xf>
    <xf numFmtId="164" fontId="19" fillId="8" borderId="13" xfId="1" applyNumberFormat="1" applyFont="1" applyFill="1" applyBorder="1" applyAlignment="1">
      <alignment vertical="top" wrapText="1"/>
    </xf>
    <xf numFmtId="0" fontId="19" fillId="9" borderId="13" xfId="0" applyFont="1" applyFill="1" applyBorder="1" applyAlignment="1">
      <alignment vertical="top" wrapText="1"/>
    </xf>
    <xf numFmtId="164" fontId="19" fillId="9" borderId="13" xfId="1" applyNumberFormat="1" applyFont="1" applyFill="1" applyBorder="1" applyAlignment="1">
      <alignment vertical="top" wrapText="1"/>
    </xf>
    <xf numFmtId="0" fontId="19" fillId="10" borderId="13" xfId="0" applyFont="1" applyFill="1" applyBorder="1" applyAlignment="1">
      <alignment horizontal="center" vertical="top" wrapText="1"/>
    </xf>
    <xf numFmtId="0" fontId="18" fillId="5" borderId="13" xfId="0" applyFont="1" applyFill="1" applyBorder="1" applyAlignment="1">
      <alignment vertical="top" wrapText="1"/>
    </xf>
    <xf numFmtId="0" fontId="24" fillId="5" borderId="13" xfId="0" applyFont="1" applyFill="1" applyBorder="1" applyAlignment="1">
      <alignment vertical="top" wrapText="1"/>
    </xf>
    <xf numFmtId="0" fontId="24" fillId="6" borderId="13" xfId="0" applyFont="1" applyFill="1" applyBorder="1" applyAlignment="1">
      <alignment vertical="top" wrapText="1"/>
    </xf>
    <xf numFmtId="0" fontId="24" fillId="6" borderId="14" xfId="0" applyFont="1" applyFill="1" applyBorder="1" applyAlignment="1">
      <alignment horizontal="left" vertical="top" wrapText="1"/>
    </xf>
    <xf numFmtId="0" fontId="24" fillId="6" borderId="15" xfId="0" applyFont="1" applyFill="1" applyBorder="1" applyAlignment="1">
      <alignment horizontal="left" vertical="top" wrapText="1"/>
    </xf>
    <xf numFmtId="164" fontId="19" fillId="11" borderId="13" xfId="1" applyNumberFormat="1" applyFont="1" applyFill="1" applyBorder="1" applyAlignment="1">
      <alignment vertical="top" wrapText="1"/>
    </xf>
    <xf numFmtId="0" fontId="19" fillId="11" borderId="13" xfId="0" applyFont="1" applyFill="1" applyBorder="1" applyAlignment="1">
      <alignment vertical="top" wrapText="1"/>
    </xf>
    <xf numFmtId="0" fontId="19" fillId="8" borderId="13" xfId="0" applyFont="1" applyFill="1" applyBorder="1" applyAlignment="1">
      <alignment vertical="top" wrapText="1"/>
    </xf>
    <xf numFmtId="0" fontId="16" fillId="0" borderId="13" xfId="0" applyFont="1" applyBorder="1" applyAlignment="1">
      <alignment horizontal="center" vertical="top" wrapText="1"/>
    </xf>
    <xf numFmtId="0" fontId="19" fillId="0" borderId="13" xfId="0" applyFont="1" applyBorder="1" applyAlignment="1">
      <alignment vertical="top" wrapText="1"/>
    </xf>
    <xf numFmtId="0" fontId="19" fillId="0" borderId="13" xfId="0" applyFont="1" applyBorder="1" applyAlignment="1">
      <alignment vertical="top" wrapText="1"/>
    </xf>
    <xf numFmtId="0" fontId="19" fillId="6" borderId="14"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6" borderId="15" xfId="0" applyFont="1" applyFill="1" applyBorder="1" applyAlignment="1">
      <alignment horizontal="left" vertical="top" wrapText="1"/>
    </xf>
    <xf numFmtId="0" fontId="19" fillId="6" borderId="13" xfId="0" applyFont="1" applyFill="1" applyBorder="1" applyAlignment="1">
      <alignment vertical="top" wrapText="1"/>
    </xf>
    <xf numFmtId="164" fontId="19" fillId="6" borderId="13" xfId="1" applyNumberFormat="1" applyFont="1" applyFill="1" applyBorder="1" applyAlignment="1">
      <alignment vertical="top" wrapText="1"/>
    </xf>
    <xf numFmtId="164" fontId="24" fillId="6" borderId="13" xfId="1" applyNumberFormat="1" applyFont="1" applyFill="1" applyBorder="1" applyAlignment="1">
      <alignment vertical="top" wrapText="1"/>
    </xf>
    <xf numFmtId="0" fontId="19" fillId="12" borderId="13" xfId="0" applyFont="1" applyFill="1" applyBorder="1" applyAlignment="1">
      <alignment vertical="top" wrapText="1"/>
    </xf>
    <xf numFmtId="164" fontId="19" fillId="12" borderId="13" xfId="1" applyNumberFormat="1" applyFont="1" applyFill="1" applyBorder="1" applyAlignment="1">
      <alignment vertical="top" wrapText="1"/>
    </xf>
    <xf numFmtId="0" fontId="19" fillId="6" borderId="13" xfId="0" applyFont="1" applyFill="1" applyBorder="1" applyAlignment="1">
      <alignment horizontal="center" vertical="top" wrapText="1"/>
    </xf>
    <xf numFmtId="0" fontId="19" fillId="13" borderId="13" xfId="0" applyFont="1" applyFill="1" applyBorder="1" applyAlignment="1">
      <alignment horizontal="center" vertical="top" wrapText="1"/>
    </xf>
    <xf numFmtId="0" fontId="19" fillId="6" borderId="13" xfId="0" applyFont="1" applyFill="1" applyBorder="1" applyAlignment="1">
      <alignment vertical="top" wrapText="1"/>
    </xf>
    <xf numFmtId="164" fontId="24" fillId="8" borderId="13" xfId="1" applyNumberFormat="1" applyFont="1" applyFill="1" applyBorder="1" applyAlignment="1">
      <alignment vertical="top" wrapText="1"/>
    </xf>
    <xf numFmtId="0" fontId="24" fillId="6" borderId="14" xfId="0" applyFont="1" applyFill="1" applyBorder="1" applyAlignment="1">
      <alignment horizontal="center" vertical="top" wrapText="1"/>
    </xf>
    <xf numFmtId="0" fontId="24" fillId="6" borderId="11" xfId="0" applyFont="1" applyFill="1" applyBorder="1" applyAlignment="1">
      <alignment horizontal="center" vertical="top" wrapText="1"/>
    </xf>
    <xf numFmtId="0" fontId="24" fillId="6" borderId="15" xfId="0" applyFont="1" applyFill="1" applyBorder="1" applyAlignment="1">
      <alignment horizontal="center" vertical="top" wrapText="1"/>
    </xf>
    <xf numFmtId="0" fontId="19" fillId="5" borderId="26" xfId="0" applyFont="1" applyFill="1" applyBorder="1" applyAlignment="1">
      <alignment vertical="top" wrapText="1"/>
    </xf>
    <xf numFmtId="0" fontId="19" fillId="5" borderId="26" xfId="0" applyFont="1" applyFill="1" applyBorder="1" applyAlignment="1">
      <alignment horizontal="center" vertical="top" wrapText="1"/>
    </xf>
    <xf numFmtId="0" fontId="19" fillId="5" borderId="26" xfId="0" applyFont="1" applyFill="1" applyBorder="1" applyAlignment="1">
      <alignment vertical="top" wrapText="1"/>
    </xf>
    <xf numFmtId="164" fontId="24" fillId="0" borderId="0" xfId="1" applyNumberFormat="1" applyFont="1" applyFill="1" applyBorder="1" applyAlignment="1">
      <alignment vertical="top" wrapText="1"/>
    </xf>
    <xf numFmtId="0" fontId="19" fillId="0" borderId="0" xfId="0" applyFont="1" applyFill="1" applyBorder="1" applyAlignment="1">
      <alignment horizontal="center" vertical="top" wrapText="1"/>
    </xf>
    <xf numFmtId="0" fontId="19" fillId="0" borderId="27" xfId="0" applyFont="1" applyFill="1" applyBorder="1" applyAlignment="1">
      <alignment horizontal="center" vertical="top" wrapText="1"/>
    </xf>
    <xf numFmtId="164" fontId="24" fillId="0" borderId="27" xfId="1" applyNumberFormat="1" applyFont="1" applyFill="1" applyBorder="1" applyAlignment="1">
      <alignment vertical="top" wrapText="1"/>
    </xf>
    <xf numFmtId="0" fontId="19" fillId="12" borderId="13" xfId="0" applyFont="1" applyFill="1" applyBorder="1" applyAlignment="1">
      <alignment vertical="top" wrapText="1"/>
    </xf>
    <xf numFmtId="164" fontId="24" fillId="0" borderId="1" xfId="1" applyNumberFormat="1" applyFont="1" applyFill="1" applyBorder="1" applyAlignment="1">
      <alignment vertical="top" wrapText="1"/>
    </xf>
    <xf numFmtId="164" fontId="19" fillId="0" borderId="1" xfId="1" applyNumberFormat="1" applyFont="1" applyFill="1" applyBorder="1" applyAlignment="1">
      <alignment vertical="top" wrapText="1"/>
    </xf>
    <xf numFmtId="164" fontId="19" fillId="0" borderId="25" xfId="1" applyNumberFormat="1" applyFont="1" applyFill="1" applyBorder="1" applyAlignment="1">
      <alignment vertical="top" wrapText="1"/>
    </xf>
    <xf numFmtId="0" fontId="24" fillId="0" borderId="26" xfId="0" applyFont="1" applyBorder="1" applyAlignment="1">
      <alignment vertical="top" wrapText="1"/>
    </xf>
    <xf numFmtId="0" fontId="19" fillId="13" borderId="13" xfId="0" applyFont="1" applyFill="1" applyBorder="1" applyAlignment="1">
      <alignment vertical="top" wrapText="1"/>
    </xf>
    <xf numFmtId="0" fontId="19" fillId="13" borderId="13" xfId="0" applyFont="1" applyFill="1" applyBorder="1" applyAlignment="1">
      <alignment horizontal="left" vertical="top" wrapText="1"/>
    </xf>
    <xf numFmtId="0" fontId="25" fillId="0" borderId="13" xfId="0" applyFont="1" applyBorder="1" applyAlignment="1">
      <alignment vertical="top" wrapText="1"/>
    </xf>
    <xf numFmtId="0" fontId="26" fillId="13" borderId="13" xfId="0" applyFont="1" applyFill="1" applyBorder="1" applyAlignment="1">
      <alignment vertical="top" wrapText="1"/>
    </xf>
    <xf numFmtId="0" fontId="26" fillId="13" borderId="13" xfId="0" applyFont="1" applyFill="1" applyBorder="1" applyAlignment="1">
      <alignment horizontal="center" vertical="top" wrapText="1"/>
    </xf>
    <xf numFmtId="0" fontId="24" fillId="0" borderId="13" xfId="0" applyNumberFormat="1" applyFont="1" applyBorder="1" applyAlignment="1">
      <alignment horizontal="center" vertical="center"/>
    </xf>
    <xf numFmtId="0" fontId="24" fillId="0" borderId="13" xfId="0" applyFont="1" applyBorder="1" applyAlignment="1">
      <alignment horizontal="center" vertical="center"/>
    </xf>
    <xf numFmtId="0" fontId="27" fillId="0" borderId="0" xfId="0" applyFont="1"/>
    <xf numFmtId="0" fontId="24" fillId="0" borderId="13" xfId="0" applyFont="1" applyBorder="1" applyAlignment="1">
      <alignment horizontal="left" vertical="top" wrapText="1"/>
    </xf>
    <xf numFmtId="0" fontId="27" fillId="0" borderId="13" xfId="0" applyFont="1" applyBorder="1" applyAlignment="1">
      <alignment vertical="top"/>
    </xf>
    <xf numFmtId="0" fontId="24" fillId="0" borderId="13" xfId="0" applyFont="1" applyBorder="1" applyAlignment="1">
      <alignment vertical="top"/>
    </xf>
    <xf numFmtId="0" fontId="24" fillId="0" borderId="13" xfId="0" applyFont="1" applyBorder="1" applyAlignment="1">
      <alignment horizontal="center" vertical="top"/>
    </xf>
    <xf numFmtId="0" fontId="19" fillId="5" borderId="13" xfId="0" applyFont="1" applyFill="1" applyBorder="1" applyAlignment="1">
      <alignment horizontal="center" vertical="center" wrapText="1"/>
    </xf>
    <xf numFmtId="0" fontId="19" fillId="6" borderId="14" xfId="0" applyFont="1" applyFill="1" applyBorder="1" applyAlignment="1">
      <alignment vertical="top"/>
    </xf>
    <xf numFmtId="0" fontId="19" fillId="6" borderId="11" xfId="0" applyFont="1" applyFill="1" applyBorder="1" applyAlignment="1">
      <alignment vertical="top" wrapText="1"/>
    </xf>
    <xf numFmtId="0" fontId="24" fillId="0" borderId="15" xfId="0" applyFont="1" applyBorder="1" applyAlignment="1">
      <alignment vertical="top"/>
    </xf>
    <xf numFmtId="0" fontId="19" fillId="6" borderId="28" xfId="0" applyFont="1" applyFill="1" applyBorder="1" applyAlignment="1">
      <alignment vertical="top" wrapText="1"/>
    </xf>
    <xf numFmtId="164" fontId="19" fillId="6" borderId="28" xfId="1" applyNumberFormat="1" applyFont="1" applyFill="1" applyBorder="1" applyAlignment="1">
      <alignment vertical="top" wrapText="1"/>
    </xf>
    <xf numFmtId="0" fontId="24" fillId="6" borderId="26" xfId="0" applyFont="1" applyFill="1" applyBorder="1" applyAlignment="1">
      <alignment horizontal="center" vertical="top" wrapText="1"/>
    </xf>
    <xf numFmtId="0" fontId="24" fillId="6" borderId="26" xfId="0" applyFont="1" applyFill="1" applyBorder="1" applyAlignment="1">
      <alignment vertical="top" wrapText="1"/>
    </xf>
    <xf numFmtId="164" fontId="24" fillId="0" borderId="26" xfId="1" applyNumberFormat="1" applyFont="1" applyBorder="1" applyAlignment="1">
      <alignment vertical="top"/>
    </xf>
    <xf numFmtId="164" fontId="24" fillId="7" borderId="26" xfId="1" applyNumberFormat="1" applyFont="1" applyFill="1" applyBorder="1" applyAlignment="1">
      <alignment vertical="top" wrapText="1"/>
    </xf>
    <xf numFmtId="0" fontId="19" fillId="6" borderId="28" xfId="0" applyFont="1" applyFill="1" applyBorder="1" applyAlignment="1">
      <alignment horizontal="center" vertical="top" wrapText="1"/>
    </xf>
    <xf numFmtId="0" fontId="19" fillId="12" borderId="13" xfId="0" applyFont="1" applyFill="1" applyBorder="1" applyAlignment="1">
      <alignment horizontal="center" vertical="top" wrapText="1"/>
    </xf>
    <xf numFmtId="0" fontId="19" fillId="8" borderId="13" xfId="1" applyNumberFormat="1" applyFont="1" applyFill="1" applyBorder="1" applyAlignment="1">
      <alignment horizontal="center" vertical="top" wrapText="1"/>
    </xf>
    <xf numFmtId="0" fontId="27" fillId="0" borderId="13" xfId="0" applyFont="1" applyBorder="1" applyAlignment="1">
      <alignment vertical="top" wrapText="1"/>
    </xf>
    <xf numFmtId="9" fontId="24" fillId="0" borderId="13" xfId="2" applyFont="1" applyBorder="1" applyAlignment="1">
      <alignment horizontal="center" vertical="top" wrapText="1"/>
    </xf>
    <xf numFmtId="0" fontId="24" fillId="0" borderId="13" xfId="0" applyFont="1" applyBorder="1" applyAlignment="1">
      <alignment horizontal="center" vertical="top" wrapText="1"/>
    </xf>
    <xf numFmtId="0" fontId="19" fillId="0" borderId="13" xfId="0" quotePrefix="1" applyFont="1" applyBorder="1" applyAlignment="1">
      <alignment vertical="top" wrapText="1"/>
    </xf>
    <xf numFmtId="164" fontId="24" fillId="0" borderId="13" xfId="1" applyNumberFormat="1" applyFont="1" applyFill="1" applyBorder="1" applyAlignment="1">
      <alignment vertical="top" wrapText="1"/>
    </xf>
    <xf numFmtId="164" fontId="24" fillId="14" borderId="13" xfId="1" applyNumberFormat="1" applyFont="1" applyFill="1" applyBorder="1" applyAlignment="1">
      <alignment vertical="top" wrapText="1"/>
    </xf>
    <xf numFmtId="164" fontId="24" fillId="0" borderId="13" xfId="1" applyNumberFormat="1" applyFont="1" applyBorder="1" applyAlignment="1">
      <alignment vertical="top" wrapText="1"/>
    </xf>
    <xf numFmtId="0" fontId="24" fillId="6" borderId="14" xfId="0" applyFont="1" applyFill="1" applyBorder="1" applyAlignment="1">
      <alignment vertical="top" wrapText="1"/>
    </xf>
    <xf numFmtId="0" fontId="24" fillId="6" borderId="11" xfId="0" applyFont="1" applyFill="1" applyBorder="1" applyAlignment="1">
      <alignment vertical="top" wrapText="1"/>
    </xf>
    <xf numFmtId="0" fontId="24" fillId="6" borderId="15" xfId="0" applyFont="1" applyFill="1" applyBorder="1" applyAlignment="1">
      <alignment vertical="top" wrapText="1"/>
    </xf>
    <xf numFmtId="0" fontId="19" fillId="6" borderId="14" xfId="0" applyFont="1" applyFill="1" applyBorder="1" applyAlignment="1">
      <alignment vertical="top" wrapText="1"/>
    </xf>
    <xf numFmtId="0" fontId="19" fillId="6" borderId="11" xfId="0" applyFont="1" applyFill="1" applyBorder="1" applyAlignment="1">
      <alignment vertical="top" wrapText="1"/>
    </xf>
    <xf numFmtId="0" fontId="19" fillId="6" borderId="15" xfId="0" applyFont="1" applyFill="1" applyBorder="1" applyAlignment="1">
      <alignment vertical="top" wrapText="1"/>
    </xf>
    <xf numFmtId="0" fontId="19" fillId="5" borderId="28" xfId="0" applyFont="1" applyFill="1" applyBorder="1" applyAlignment="1">
      <alignment horizontal="center" vertical="top" wrapText="1"/>
    </xf>
    <xf numFmtId="0" fontId="19" fillId="5" borderId="26"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29" xfId="0" applyFont="1" applyFill="1" applyBorder="1" applyAlignment="1">
      <alignment horizontal="center" vertical="top" wrapText="1"/>
    </xf>
    <xf numFmtId="0" fontId="21" fillId="0" borderId="0" xfId="0" applyNumberFormat="1" applyFont="1" applyFill="1" applyBorder="1" applyAlignment="1">
      <alignment vertical="center"/>
    </xf>
    <xf numFmtId="37" fontId="22" fillId="0" borderId="0" xfId="0" applyNumberFormat="1" applyFont="1" applyFill="1" applyBorder="1" applyAlignment="1">
      <alignment horizontal="right" vertical="center"/>
    </xf>
    <xf numFmtId="0" fontId="26" fillId="10" borderId="2" xfId="0" applyNumberFormat="1" applyFont="1" applyFill="1" applyBorder="1" applyAlignment="1">
      <alignment horizontal="left" vertical="center"/>
    </xf>
    <xf numFmtId="3" fontId="26" fillId="10" borderId="2" xfId="0" applyNumberFormat="1" applyFont="1" applyFill="1" applyBorder="1" applyAlignment="1">
      <alignment horizontal="center" vertical="center"/>
    </xf>
    <xf numFmtId="0" fontId="26" fillId="10" borderId="2" xfId="0" applyNumberFormat="1" applyFont="1" applyFill="1" applyBorder="1" applyAlignment="1">
      <alignment horizontal="center" vertical="center"/>
    </xf>
    <xf numFmtId="0" fontId="21" fillId="0" borderId="30" xfId="0" applyNumberFormat="1" applyFont="1" applyFill="1" applyBorder="1" applyAlignment="1">
      <alignment vertical="center"/>
    </xf>
    <xf numFmtId="0" fontId="28" fillId="0" borderId="30" xfId="0" applyNumberFormat="1" applyFont="1" applyFill="1" applyBorder="1" applyAlignment="1">
      <alignment vertical="center"/>
    </xf>
    <xf numFmtId="0" fontId="22" fillId="0" borderId="0" xfId="0" applyNumberFormat="1" applyFont="1" applyFill="1" applyBorder="1" applyAlignment="1">
      <alignment vertical="center"/>
    </xf>
    <xf numFmtId="3" fontId="21" fillId="0" borderId="0" xfId="0" applyNumberFormat="1" applyFont="1" applyFill="1" applyBorder="1" applyAlignment="1">
      <alignment vertical="center"/>
    </xf>
    <xf numFmtId="164" fontId="21" fillId="0" borderId="11" xfId="1" applyNumberFormat="1" applyFont="1" applyFill="1" applyBorder="1" applyAlignment="1">
      <alignment vertical="center"/>
    </xf>
    <xf numFmtId="164" fontId="21" fillId="0" borderId="0" xfId="1" applyNumberFormat="1" applyFont="1" applyFill="1" applyBorder="1" applyAlignment="1">
      <alignment vertical="center"/>
    </xf>
    <xf numFmtId="0" fontId="21" fillId="0" borderId="0" xfId="0" applyNumberFormat="1" applyFont="1" applyFill="1" applyAlignment="1">
      <alignment vertical="center"/>
    </xf>
    <xf numFmtId="164" fontId="21" fillId="0" borderId="19" xfId="1" applyNumberFormat="1" applyFont="1" applyFill="1" applyBorder="1" applyAlignment="1">
      <alignment vertical="center"/>
    </xf>
    <xf numFmtId="0" fontId="29" fillId="0" borderId="0" xfId="0" applyNumberFormat="1" applyFont="1" applyFill="1" applyBorder="1" applyAlignment="1">
      <alignment vertical="center"/>
    </xf>
    <xf numFmtId="164" fontId="22" fillId="0" borderId="19" xfId="1" applyNumberFormat="1" applyFont="1" applyFill="1" applyBorder="1" applyAlignment="1">
      <alignment horizontal="right" vertical="center"/>
    </xf>
    <xf numFmtId="0" fontId="22" fillId="0" borderId="0" xfId="0" applyNumberFormat="1" applyFont="1" applyFill="1" applyAlignment="1">
      <alignment vertical="center"/>
    </xf>
    <xf numFmtId="0" fontId="29" fillId="0" borderId="0" xfId="0" applyNumberFormat="1" applyFont="1" applyAlignment="1">
      <alignment vertical="center"/>
    </xf>
    <xf numFmtId="0" fontId="26" fillId="0" borderId="0" xfId="0" applyNumberFormat="1" applyFont="1" applyBorder="1" applyAlignment="1">
      <alignment vertical="center"/>
    </xf>
    <xf numFmtId="0" fontId="29" fillId="0" borderId="0" xfId="0" applyNumberFormat="1" applyFont="1" applyBorder="1" applyAlignment="1">
      <alignment vertical="center"/>
    </xf>
    <xf numFmtId="3" fontId="21" fillId="0" borderId="30" xfId="0" applyNumberFormat="1" applyFont="1" applyFill="1" applyBorder="1" applyAlignment="1">
      <alignment horizontal="right" vertical="center"/>
    </xf>
    <xf numFmtId="3" fontId="21" fillId="0" borderId="30" xfId="0" applyNumberFormat="1" applyFont="1" applyFill="1" applyBorder="1" applyAlignment="1">
      <alignment vertical="center"/>
    </xf>
    <xf numFmtId="0" fontId="19" fillId="0" borderId="0" xfId="0" applyFont="1" applyBorder="1"/>
    <xf numFmtId="0" fontId="19" fillId="0" borderId="0" xfId="0" applyFont="1" applyFill="1" applyBorder="1"/>
    <xf numFmtId="166" fontId="21" fillId="0" borderId="0" xfId="0" applyNumberFormat="1" applyFont="1" applyFill="1" applyBorder="1" applyAlignment="1">
      <alignment horizontal="right"/>
    </xf>
    <xf numFmtId="0" fontId="21" fillId="0" borderId="31" xfId="0" applyNumberFormat="1" applyFont="1" applyFill="1" applyBorder="1" applyAlignment="1">
      <alignment vertical="center"/>
    </xf>
    <xf numFmtId="0" fontId="21" fillId="0" borderId="0" xfId="0" applyNumberFormat="1" applyFont="1" applyFill="1" applyBorder="1" applyAlignment="1">
      <alignment horizontal="center" vertical="center"/>
    </xf>
    <xf numFmtId="3" fontId="22" fillId="0" borderId="19" xfId="0" applyNumberFormat="1" applyFont="1" applyFill="1" applyBorder="1" applyAlignment="1">
      <alignment vertical="center"/>
    </xf>
    <xf numFmtId="0" fontId="18" fillId="0" borderId="0" xfId="0" applyFont="1" applyFill="1"/>
    <xf numFmtId="0" fontId="19" fillId="3" borderId="32" xfId="0" applyFont="1" applyFill="1" applyBorder="1" applyAlignment="1">
      <alignment horizontal="center" vertical="top" wrapText="1"/>
    </xf>
    <xf numFmtId="0" fontId="19" fillId="3" borderId="4" xfId="0" applyFont="1" applyFill="1" applyBorder="1" applyAlignment="1">
      <alignment horizontal="center" vertical="top" wrapText="1"/>
    </xf>
    <xf numFmtId="0" fontId="19" fillId="3" borderId="29" xfId="0" applyFont="1" applyFill="1" applyBorder="1" applyAlignment="1">
      <alignment horizontal="center" vertical="top" wrapText="1"/>
    </xf>
    <xf numFmtId="0" fontId="21" fillId="4" borderId="33" xfId="3" applyNumberFormat="1" applyFont="1" applyFill="1" applyBorder="1" applyAlignment="1">
      <alignment vertical="center"/>
    </xf>
    <xf numFmtId="0" fontId="21" fillId="4" borderId="34" xfId="3" applyNumberFormat="1" applyFont="1" applyFill="1" applyBorder="1" applyAlignment="1">
      <alignment vertical="center"/>
    </xf>
    <xf numFmtId="3" fontId="21" fillId="4" borderId="34" xfId="3" applyNumberFormat="1" applyFont="1" applyFill="1" applyBorder="1" applyAlignment="1">
      <alignment vertical="center"/>
    </xf>
    <xf numFmtId="3" fontId="21" fillId="4" borderId="35" xfId="3" applyNumberFormat="1" applyFont="1" applyFill="1" applyBorder="1" applyAlignment="1">
      <alignment vertical="center"/>
    </xf>
    <xf numFmtId="49" fontId="24" fillId="0" borderId="13" xfId="0" applyNumberFormat="1" applyFont="1" applyBorder="1" applyAlignment="1">
      <alignment vertical="top" wrapText="1"/>
    </xf>
    <xf numFmtId="0" fontId="19" fillId="0" borderId="14" xfId="0" quotePrefix="1" applyFont="1" applyBorder="1" applyAlignment="1">
      <alignment horizontal="center" vertical="top" wrapText="1"/>
    </xf>
    <xf numFmtId="0" fontId="19" fillId="0" borderId="11" xfId="0" quotePrefix="1" applyFont="1" applyBorder="1" applyAlignment="1">
      <alignment horizontal="center" vertical="top" wrapText="1"/>
    </xf>
    <xf numFmtId="0" fontId="19" fillId="0" borderId="15" xfId="0" quotePrefix="1" applyFont="1" applyBorder="1" applyAlignment="1">
      <alignment horizontal="center" vertical="top" wrapText="1"/>
    </xf>
    <xf numFmtId="0" fontId="24" fillId="0" borderId="13" xfId="0" applyFont="1" applyBorder="1" applyAlignment="1">
      <alignment vertical="top" wrapText="1"/>
    </xf>
    <xf numFmtId="164" fontId="24" fillId="0" borderId="13" xfId="1" applyNumberFormat="1" applyFont="1" applyFill="1" applyBorder="1" applyAlignment="1">
      <alignment vertical="top"/>
    </xf>
    <xf numFmtId="0" fontId="19" fillId="6" borderId="11" xfId="0" applyFont="1" applyFill="1" applyBorder="1" applyAlignment="1">
      <alignment vertical="top"/>
    </xf>
    <xf numFmtId="164" fontId="19" fillId="0" borderId="13" xfId="1" applyNumberFormat="1" applyFont="1" applyFill="1" applyBorder="1" applyAlignment="1">
      <alignment vertical="top" wrapText="1"/>
    </xf>
    <xf numFmtId="0" fontId="19" fillId="6" borderId="14" xfId="0" applyFont="1" applyFill="1" applyBorder="1" applyAlignment="1">
      <alignment horizontal="center" vertical="top" wrapText="1"/>
    </xf>
    <xf numFmtId="0" fontId="19" fillId="6" borderId="11" xfId="0" applyFont="1" applyFill="1" applyBorder="1" applyAlignment="1">
      <alignment horizontal="center" vertical="top" wrapText="1"/>
    </xf>
    <xf numFmtId="0" fontId="19" fillId="6" borderId="15" xfId="0" applyFont="1" applyFill="1" applyBorder="1" applyAlignment="1">
      <alignment horizontal="center" vertical="top" wrapText="1"/>
    </xf>
    <xf numFmtId="0" fontId="24" fillId="6" borderId="14" xfId="0" applyFont="1" applyFill="1" applyBorder="1" applyAlignment="1">
      <alignment horizontal="center" vertical="top" wrapText="1"/>
    </xf>
    <xf numFmtId="0" fontId="24" fillId="0" borderId="13" xfId="0" applyFont="1" applyFill="1" applyBorder="1" applyAlignment="1">
      <alignment horizontal="left" wrapText="1"/>
    </xf>
    <xf numFmtId="9" fontId="24" fillId="0" borderId="13" xfId="2" applyFont="1" applyFill="1" applyBorder="1" applyAlignment="1">
      <alignment horizontal="center" vertical="top"/>
    </xf>
    <xf numFmtId="9" fontId="24" fillId="0" borderId="13" xfId="2" applyFont="1" applyBorder="1" applyAlignment="1">
      <alignment horizontal="center" vertical="top"/>
    </xf>
    <xf numFmtId="0" fontId="24" fillId="0" borderId="13" xfId="0" applyFont="1" applyFill="1" applyBorder="1" applyAlignment="1">
      <alignment horizontal="center" vertical="top"/>
    </xf>
    <xf numFmtId="0" fontId="24" fillId="0" borderId="13" xfId="0" applyFont="1" applyFill="1" applyBorder="1" applyAlignment="1">
      <alignment vertical="top"/>
    </xf>
    <xf numFmtId="0" fontId="28" fillId="0" borderId="0" xfId="0" applyNumberFormat="1" applyFont="1" applyFill="1" applyBorder="1" applyAlignment="1">
      <alignment vertical="center"/>
    </xf>
    <xf numFmtId="164" fontId="22" fillId="0" borderId="0" xfId="1" applyNumberFormat="1" applyFont="1" applyFill="1" applyBorder="1" applyAlignment="1">
      <alignment horizontal="right" vertical="center"/>
    </xf>
    <xf numFmtId="0" fontId="28" fillId="0" borderId="5" xfId="0" applyNumberFormat="1" applyFont="1" applyFill="1" applyBorder="1" applyAlignment="1">
      <alignment vertical="center"/>
    </xf>
    <xf numFmtId="0" fontId="29" fillId="0" borderId="0" xfId="0" applyNumberFormat="1" applyFont="1" applyFill="1" applyAlignment="1">
      <alignment vertical="center"/>
    </xf>
    <xf numFmtId="3" fontId="21" fillId="0" borderId="11" xfId="0" applyNumberFormat="1" applyFont="1" applyFill="1" applyBorder="1" applyAlignment="1">
      <alignment vertical="center"/>
    </xf>
    <xf numFmtId="3" fontId="21" fillId="4" borderId="36" xfId="3" applyNumberFormat="1" applyFont="1" applyFill="1" applyBorder="1" applyAlignment="1">
      <alignment vertical="center"/>
    </xf>
    <xf numFmtId="0" fontId="23" fillId="0" borderId="0" xfId="3" applyNumberFormat="1" applyFont="1" applyFill="1" applyBorder="1" applyAlignment="1">
      <alignment vertical="center"/>
    </xf>
    <xf numFmtId="0" fontId="23" fillId="0" borderId="27" xfId="3" applyNumberFormat="1" applyFont="1" applyFill="1" applyBorder="1" applyAlignment="1">
      <alignment vertical="center"/>
    </xf>
    <xf numFmtId="0" fontId="24" fillId="0" borderId="13" xfId="0" applyFont="1" applyBorder="1" applyAlignment="1">
      <alignment horizontal="left" vertical="top"/>
    </xf>
    <xf numFmtId="0" fontId="18" fillId="0" borderId="13" xfId="0" applyFont="1" applyBorder="1" applyAlignment="1">
      <alignment horizontal="left" vertical="top"/>
    </xf>
    <xf numFmtId="0" fontId="29" fillId="0" borderId="13" xfId="0" applyFont="1" applyBorder="1" applyAlignment="1">
      <alignment horizontal="left" wrapText="1"/>
    </xf>
    <xf numFmtId="49" fontId="24" fillId="0" borderId="13" xfId="0" applyNumberFormat="1" applyFont="1" applyBorder="1" applyAlignment="1">
      <alignment horizontal="left" wrapText="1"/>
    </xf>
    <xf numFmtId="0" fontId="24" fillId="0" borderId="13" xfId="0" applyFont="1" applyFill="1" applyBorder="1" applyAlignment="1">
      <alignment vertical="top" wrapText="1"/>
    </xf>
    <xf numFmtId="164" fontId="29" fillId="0" borderId="13" xfId="1" applyNumberFormat="1" applyFont="1" applyBorder="1" applyAlignment="1">
      <alignment vertical="top" wrapText="1"/>
    </xf>
    <xf numFmtId="164" fontId="24" fillId="6" borderId="26" xfId="1" applyNumberFormat="1" applyFont="1" applyFill="1" applyBorder="1" applyAlignment="1">
      <alignment vertical="top" wrapText="1"/>
    </xf>
    <xf numFmtId="0" fontId="24" fillId="0" borderId="13" xfId="0" applyFont="1" applyBorder="1" applyAlignment="1">
      <alignment horizontal="center" vertical="top" wrapText="1"/>
    </xf>
    <xf numFmtId="0" fontId="24" fillId="6" borderId="13" xfId="0" applyFont="1" applyFill="1" applyBorder="1" applyAlignment="1">
      <alignment horizontal="center" vertical="top" wrapText="1"/>
    </xf>
    <xf numFmtId="0" fontId="19" fillId="5" borderId="14" xfId="0" applyFont="1" applyFill="1" applyBorder="1" applyAlignment="1">
      <alignment horizontal="center" vertical="top" wrapText="1"/>
    </xf>
    <xf numFmtId="0" fontId="19" fillId="0" borderId="32" xfId="0" applyFont="1" applyFill="1" applyBorder="1" applyAlignment="1">
      <alignment horizontal="center" vertical="top" wrapText="1"/>
    </xf>
    <xf numFmtId="164" fontId="24" fillId="0" borderId="37" xfId="1" applyNumberFormat="1" applyFont="1" applyFill="1" applyBorder="1" applyAlignment="1">
      <alignment vertical="top" wrapText="1"/>
    </xf>
    <xf numFmtId="0" fontId="19" fillId="8" borderId="14" xfId="1" applyNumberFormat="1" applyFont="1" applyFill="1" applyBorder="1" applyAlignment="1">
      <alignment horizontal="center" vertical="top" wrapText="1"/>
    </xf>
    <xf numFmtId="164" fontId="19" fillId="0" borderId="24" xfId="1" applyNumberFormat="1" applyFont="1" applyFill="1" applyBorder="1" applyAlignment="1">
      <alignment vertical="top" wrapText="1"/>
    </xf>
    <xf numFmtId="0" fontId="24" fillId="0" borderId="13" xfId="0" applyFont="1" applyFill="1" applyBorder="1" applyAlignment="1">
      <alignment horizontal="left"/>
    </xf>
    <xf numFmtId="0" fontId="24" fillId="0" borderId="13" xfId="0" applyFont="1" applyBorder="1" applyAlignment="1">
      <alignment horizontal="right" vertical="top"/>
    </xf>
    <xf numFmtId="0" fontId="24" fillId="0" borderId="14" xfId="0" applyFont="1" applyFill="1" applyBorder="1" applyAlignment="1">
      <alignment horizontal="left"/>
    </xf>
    <xf numFmtId="0" fontId="24" fillId="0" borderId="11" xfId="0" applyFont="1" applyFill="1" applyBorder="1" applyAlignment="1">
      <alignment horizontal="left"/>
    </xf>
    <xf numFmtId="0" fontId="24" fillId="0" borderId="15" xfId="0" applyFont="1" applyFill="1" applyBorder="1" applyAlignment="1">
      <alignment horizontal="left"/>
    </xf>
    <xf numFmtId="3" fontId="22" fillId="0" borderId="10" xfId="0" applyNumberFormat="1" applyFont="1" applyFill="1" applyBorder="1" applyAlignment="1">
      <alignment vertical="center"/>
    </xf>
    <xf numFmtId="0" fontId="18" fillId="0" borderId="0" xfId="0" applyFont="1" applyAlignment="1">
      <alignment vertical="top"/>
    </xf>
    <xf numFmtId="0" fontId="24" fillId="14" borderId="13" xfId="0" applyFont="1" applyFill="1" applyBorder="1" applyAlignment="1">
      <alignment vertical="top" wrapText="1"/>
    </xf>
    <xf numFmtId="164" fontId="24" fillId="0" borderId="26" xfId="1" applyNumberFormat="1" applyFont="1" applyFill="1" applyBorder="1" applyAlignment="1">
      <alignment vertical="top"/>
    </xf>
    <xf numFmtId="0" fontId="24" fillId="0" borderId="13" xfId="0" applyFont="1" applyFill="1" applyBorder="1" applyAlignment="1">
      <alignment horizontal="center" vertical="top" wrapText="1"/>
    </xf>
    <xf numFmtId="0" fontId="29" fillId="0" borderId="13" xfId="0" applyFont="1" applyFill="1" applyBorder="1" applyAlignment="1">
      <alignment horizontal="left"/>
    </xf>
    <xf numFmtId="0" fontId="24" fillId="0" borderId="14" xfId="0" applyFont="1" applyBorder="1" applyAlignment="1">
      <alignment vertical="top" wrapText="1"/>
    </xf>
    <xf numFmtId="0" fontId="24" fillId="0" borderId="11" xfId="0" applyFont="1" applyBorder="1" applyAlignment="1">
      <alignment vertical="top" wrapText="1"/>
    </xf>
    <xf numFmtId="0" fontId="24" fillId="0" borderId="15" xfId="0" applyFont="1" applyBorder="1" applyAlignment="1">
      <alignment vertical="top" wrapText="1"/>
    </xf>
    <xf numFmtId="0" fontId="18" fillId="0" borderId="13" xfId="0" applyFont="1" applyBorder="1"/>
    <xf numFmtId="0" fontId="24" fillId="0" borderId="28" xfId="0" applyFont="1" applyBorder="1" applyAlignment="1">
      <alignment vertical="top"/>
    </xf>
    <xf numFmtId="0" fontId="24" fillId="0" borderId="13" xfId="0" applyFont="1" applyBorder="1"/>
    <xf numFmtId="0" fontId="29" fillId="6" borderId="13" xfId="0" applyFont="1" applyFill="1" applyBorder="1" applyAlignment="1">
      <alignment wrapText="1"/>
    </xf>
    <xf numFmtId="0" fontId="19" fillId="5" borderId="14" xfId="0" applyFont="1" applyFill="1" applyBorder="1" applyAlignment="1">
      <alignment horizontal="center" vertical="top" wrapText="1"/>
    </xf>
    <xf numFmtId="0" fontId="19" fillId="5" borderId="11" xfId="0" applyFont="1" applyFill="1" applyBorder="1" applyAlignment="1">
      <alignment horizontal="center" vertical="top" wrapText="1"/>
    </xf>
    <xf numFmtId="0" fontId="19" fillId="5" borderId="15" xfId="0" applyFont="1" applyFill="1" applyBorder="1" applyAlignment="1">
      <alignment horizontal="center" vertical="top" wrapText="1"/>
    </xf>
    <xf numFmtId="0" fontId="24" fillId="0" borderId="13" xfId="0" applyFont="1" applyBorder="1" applyAlignment="1">
      <alignment horizontal="left" wrapText="1"/>
    </xf>
    <xf numFmtId="0" fontId="24" fillId="0" borderId="14" xfId="0" applyFont="1" applyBorder="1" applyAlignment="1">
      <alignment horizontal="left"/>
    </xf>
    <xf numFmtId="0" fontId="24" fillId="0" borderId="11" xfId="0" applyFont="1" applyBorder="1" applyAlignment="1">
      <alignment horizontal="left"/>
    </xf>
    <xf numFmtId="0" fontId="24" fillId="0" borderId="15" xfId="0" applyFont="1" applyBorder="1" applyAlignment="1">
      <alignment horizontal="left"/>
    </xf>
    <xf numFmtId="0" fontId="24" fillId="0" borderId="11" xfId="0" applyFont="1" applyBorder="1" applyAlignment="1">
      <alignment horizontal="left" wrapText="1"/>
    </xf>
    <xf numFmtId="0" fontId="24" fillId="0" borderId="15" xfId="0" applyFont="1" applyBorder="1" applyAlignment="1">
      <alignment horizontal="left" wrapText="1"/>
    </xf>
    <xf numFmtId="0" fontId="24" fillId="0" borderId="14" xfId="0" applyFont="1" applyBorder="1" applyAlignment="1">
      <alignment horizontal="left" vertical="top" wrapText="1"/>
    </xf>
    <xf numFmtId="0" fontId="24" fillId="0" borderId="11" xfId="0" applyFont="1" applyBorder="1" applyAlignment="1">
      <alignment horizontal="left" vertical="top" wrapText="1"/>
    </xf>
    <xf numFmtId="0" fontId="24" fillId="0" borderId="15" xfId="0" applyFont="1" applyBorder="1" applyAlignment="1">
      <alignment horizontal="left" vertical="top" wrapText="1"/>
    </xf>
    <xf numFmtId="0" fontId="24" fillId="0" borderId="14" xfId="0" applyFont="1" applyBorder="1" applyAlignment="1">
      <alignment horizontal="left" vertical="center"/>
    </xf>
    <xf numFmtId="0" fontId="24" fillId="0" borderId="11" xfId="0" applyFont="1" applyBorder="1" applyAlignment="1">
      <alignment horizontal="left" vertical="center"/>
    </xf>
    <xf numFmtId="0" fontId="24" fillId="0" borderId="15" xfId="0" applyFont="1" applyBorder="1" applyAlignment="1">
      <alignment horizontal="left" vertical="center"/>
    </xf>
    <xf numFmtId="0" fontId="24" fillId="0" borderId="11" xfId="0" applyFont="1" applyBorder="1" applyAlignment="1">
      <alignment horizontal="left" vertical="center" wrapText="1"/>
    </xf>
    <xf numFmtId="0" fontId="24" fillId="0" borderId="15" xfId="0" applyFont="1" applyBorder="1" applyAlignment="1">
      <alignment horizontal="left" vertical="center" wrapText="1"/>
    </xf>
    <xf numFmtId="3" fontId="24" fillId="0" borderId="13" xfId="0" applyNumberFormat="1" applyFont="1" applyBorder="1" applyAlignment="1">
      <alignment vertical="top" wrapText="1"/>
    </xf>
    <xf numFmtId="3" fontId="24" fillId="0" borderId="13" xfId="0" applyNumberFormat="1" applyFont="1" applyFill="1" applyBorder="1" applyAlignment="1">
      <alignment vertical="top" wrapText="1"/>
    </xf>
    <xf numFmtId="0" fontId="24" fillId="6" borderId="13" xfId="0" quotePrefix="1" applyFont="1" applyFill="1" applyBorder="1" applyAlignment="1">
      <alignment horizontal="center" vertical="top" wrapText="1"/>
    </xf>
    <xf numFmtId="0" fontId="24" fillId="6" borderId="13" xfId="0" applyFont="1" applyFill="1" applyBorder="1" applyAlignment="1">
      <alignment horizontal="left" vertical="top" wrapText="1"/>
    </xf>
    <xf numFmtId="0" fontId="34" fillId="6" borderId="13" xfId="0" applyFont="1" applyFill="1" applyBorder="1" applyAlignment="1">
      <alignment horizontal="right" vertical="top"/>
    </xf>
    <xf numFmtId="0" fontId="24" fillId="0" borderId="14" xfId="0" applyFont="1" applyFill="1" applyBorder="1" applyAlignment="1">
      <alignment horizontal="left" wrapText="1"/>
    </xf>
    <xf numFmtId="0" fontId="24" fillId="0" borderId="11" xfId="0" applyFont="1" applyFill="1" applyBorder="1" applyAlignment="1">
      <alignment horizontal="left" wrapText="1"/>
    </xf>
    <xf numFmtId="0" fontId="24" fillId="0" borderId="15" xfId="0" applyFont="1" applyFill="1" applyBorder="1" applyAlignment="1">
      <alignment horizontal="left" wrapText="1"/>
    </xf>
    <xf numFmtId="0" fontId="26" fillId="13" borderId="26" xfId="0" applyFont="1" applyFill="1" applyBorder="1" applyAlignment="1">
      <alignment vertical="top" wrapText="1"/>
    </xf>
    <xf numFmtId="0" fontId="25" fillId="0" borderId="11" xfId="0" applyFont="1" applyBorder="1" applyAlignment="1">
      <alignment horizontal="left" wrapText="1"/>
    </xf>
    <xf numFmtId="0" fontId="25" fillId="0" borderId="15" xfId="0" applyFont="1" applyBorder="1" applyAlignment="1">
      <alignment horizontal="left" wrapText="1"/>
    </xf>
    <xf numFmtId="49" fontId="24" fillId="0" borderId="13" xfId="0" applyNumberFormat="1" applyFont="1" applyBorder="1" applyAlignment="1">
      <alignment horizontal="left" vertical="top" wrapText="1"/>
    </xf>
    <xf numFmtId="0" fontId="29" fillId="0" borderId="13" xfId="0" applyFont="1" applyBorder="1" applyAlignment="1">
      <alignment horizontal="left" vertical="top" wrapText="1"/>
    </xf>
    <xf numFmtId="0" fontId="29" fillId="0" borderId="13" xfId="0" applyFont="1" applyBorder="1" applyAlignment="1">
      <alignment horizontal="left" vertical="top"/>
    </xf>
    <xf numFmtId="0" fontId="35" fillId="0" borderId="13" xfId="0" applyFont="1" applyBorder="1" applyAlignment="1">
      <alignment vertical="top" wrapText="1"/>
    </xf>
    <xf numFmtId="0" fontId="36" fillId="0" borderId="0" xfId="0" applyFont="1"/>
    <xf numFmtId="0" fontId="25" fillId="0" borderId="11" xfId="0" applyFont="1" applyBorder="1" applyAlignment="1">
      <alignment horizontal="left" vertical="center" wrapText="1"/>
    </xf>
    <xf numFmtId="0" fontId="25" fillId="0" borderId="15" xfId="0" applyFont="1" applyBorder="1" applyAlignment="1">
      <alignment horizontal="left" vertical="center" wrapText="1"/>
    </xf>
    <xf numFmtId="0" fontId="29" fillId="0" borderId="14" xfId="0" applyFont="1" applyBorder="1" applyAlignment="1">
      <alignment horizontal="left" wrapText="1"/>
    </xf>
    <xf numFmtId="0" fontId="29" fillId="0" borderId="11" xfId="0" applyFont="1" applyBorder="1" applyAlignment="1">
      <alignment horizontal="left" wrapText="1"/>
    </xf>
    <xf numFmtId="0" fontId="29" fillId="0" borderId="15" xfId="0" applyFont="1" applyBorder="1" applyAlignment="1">
      <alignment horizontal="left" wrapText="1"/>
    </xf>
    <xf numFmtId="0" fontId="27" fillId="0" borderId="13" xfId="0" applyFont="1" applyBorder="1" applyAlignment="1">
      <alignment horizontal="left" vertical="top" wrapText="1"/>
    </xf>
    <xf numFmtId="0" fontId="24" fillId="0" borderId="13" xfId="0" applyFont="1" applyFill="1" applyBorder="1" applyAlignment="1">
      <alignment horizontal="center" vertical="center"/>
    </xf>
    <xf numFmtId="0" fontId="25" fillId="0" borderId="11" xfId="0" applyFont="1" applyBorder="1" applyAlignment="1">
      <alignment horizontal="left"/>
    </xf>
    <xf numFmtId="0" fontId="25" fillId="0" borderId="15" xfId="0" applyFont="1" applyBorder="1" applyAlignment="1">
      <alignment horizontal="left"/>
    </xf>
    <xf numFmtId="0" fontId="24" fillId="6" borderId="13" xfId="0" applyFont="1" applyFill="1" applyBorder="1" applyAlignment="1">
      <alignment horizontal="left" wrapText="1"/>
    </xf>
    <xf numFmtId="167" fontId="24" fillId="6" borderId="13" xfId="0" applyNumberFormat="1" applyFont="1" applyFill="1" applyBorder="1" applyAlignment="1">
      <alignment horizontal="center" vertical="center" wrapText="1"/>
    </xf>
    <xf numFmtId="0" fontId="27" fillId="0" borderId="13" xfId="0" applyFont="1" applyFill="1" applyBorder="1" applyAlignment="1">
      <alignment horizontal="left"/>
    </xf>
    <xf numFmtId="0" fontId="27" fillId="0" borderId="13" xfId="0" applyFont="1" applyFill="1" applyBorder="1" applyAlignment="1">
      <alignment vertical="top"/>
    </xf>
    <xf numFmtId="0" fontId="35" fillId="6" borderId="13" xfId="0" applyFont="1" applyFill="1" applyBorder="1" applyAlignment="1">
      <alignment horizontal="left"/>
    </xf>
    <xf numFmtId="0" fontId="35" fillId="0" borderId="13" xfId="0" applyFont="1" applyFill="1" applyBorder="1" applyAlignment="1">
      <alignment vertical="top"/>
    </xf>
    <xf numFmtId="0" fontId="35" fillId="0" borderId="13" xfId="0" applyFont="1" applyBorder="1" applyAlignment="1">
      <alignment vertical="top"/>
    </xf>
    <xf numFmtId="0" fontId="35" fillId="6" borderId="13" xfId="0" applyFont="1" applyFill="1" applyBorder="1" applyAlignment="1">
      <alignment horizontal="left" wrapText="1"/>
    </xf>
    <xf numFmtId="0" fontId="21" fillId="0" borderId="0" xfId="0" applyNumberFormat="1" applyFont="1" applyFill="1" applyAlignment="1">
      <alignment horizontal="center" vertical="center"/>
    </xf>
    <xf numFmtId="0" fontId="21" fillId="0" borderId="0" xfId="3" applyNumberFormat="1" applyFont="1" applyFill="1" applyBorder="1" applyAlignment="1">
      <alignment vertical="center"/>
    </xf>
    <xf numFmtId="0" fontId="24" fillId="0" borderId="13" xfId="0" applyFont="1" applyBorder="1" applyAlignment="1">
      <alignment horizontal="left"/>
    </xf>
    <xf numFmtId="0" fontId="18" fillId="0" borderId="0" xfId="0" applyFont="1" applyBorder="1"/>
    <xf numFmtId="0" fontId="24" fillId="0" borderId="13" xfId="0" quotePrefix="1" applyFont="1" applyBorder="1" applyAlignment="1">
      <alignment horizontal="center" vertical="top" wrapText="1"/>
    </xf>
    <xf numFmtId="0" fontId="29" fillId="6" borderId="13" xfId="0" applyFont="1" applyFill="1" applyBorder="1" applyAlignment="1">
      <alignment horizontal="left"/>
    </xf>
    <xf numFmtId="0" fontId="35" fillId="0" borderId="13" xfId="0" applyFont="1" applyBorder="1" applyAlignment="1">
      <alignment horizontal="left" vertical="top" wrapText="1"/>
    </xf>
    <xf numFmtId="9" fontId="24" fillId="0" borderId="13" xfId="0" applyNumberFormat="1" applyFont="1" applyFill="1" applyBorder="1" applyAlignment="1">
      <alignment horizontal="center" vertical="top"/>
    </xf>
    <xf numFmtId="0" fontId="29" fillId="6" borderId="13" xfId="0" applyFont="1" applyFill="1" applyBorder="1" applyAlignment="1">
      <alignment horizontal="left" wrapText="1"/>
    </xf>
    <xf numFmtId="0" fontId="18" fillId="0" borderId="13" xfId="0" applyFont="1" applyBorder="1" applyAlignment="1">
      <alignment horizontal="left" wrapText="1"/>
    </xf>
    <xf numFmtId="0" fontId="19" fillId="5" borderId="28" xfId="0" applyFont="1" applyFill="1" applyBorder="1" applyAlignment="1">
      <alignment vertical="top" wrapText="1"/>
    </xf>
    <xf numFmtId="0" fontId="18" fillId="5" borderId="28" xfId="0" applyFont="1" applyFill="1" applyBorder="1" applyAlignment="1">
      <alignment vertical="top" wrapText="1"/>
    </xf>
    <xf numFmtId="0" fontId="24" fillId="6" borderId="14" xfId="0" applyFont="1" applyFill="1" applyBorder="1" applyAlignment="1">
      <alignment horizontal="left" vertical="top" wrapText="1"/>
    </xf>
    <xf numFmtId="0" fontId="24" fillId="6" borderId="14" xfId="0" applyFont="1" applyFill="1" applyBorder="1" applyAlignment="1">
      <alignment horizontal="left" vertical="top"/>
    </xf>
    <xf numFmtId="0" fontId="24" fillId="6" borderId="15" xfId="0" applyFont="1" applyFill="1" applyBorder="1" applyAlignment="1">
      <alignment vertical="top"/>
    </xf>
    <xf numFmtId="164" fontId="24" fillId="6" borderId="15" xfId="1" applyNumberFormat="1" applyFont="1" applyFill="1" applyBorder="1" applyAlignment="1">
      <alignment vertical="top" wrapText="1"/>
    </xf>
    <xf numFmtId="0" fontId="19" fillId="9" borderId="26" xfId="0" applyFont="1" applyFill="1" applyBorder="1" applyAlignment="1">
      <alignment vertical="top" wrapText="1"/>
    </xf>
    <xf numFmtId="0" fontId="24" fillId="0" borderId="14" xfId="0" applyFont="1" applyBorder="1" applyAlignment="1">
      <alignment vertical="top"/>
    </xf>
    <xf numFmtId="0" fontId="18" fillId="0" borderId="11" xfId="0" applyFont="1" applyBorder="1" applyAlignment="1">
      <alignment vertical="top"/>
    </xf>
    <xf numFmtId="0" fontId="18" fillId="0" borderId="15" xfId="0" applyFont="1" applyBorder="1" applyAlignment="1">
      <alignment vertical="top"/>
    </xf>
    <xf numFmtId="9" fontId="24" fillId="0" borderId="13" xfId="2" applyFont="1" applyBorder="1" applyAlignment="1">
      <alignment vertical="top"/>
    </xf>
    <xf numFmtId="0" fontId="19" fillId="6" borderId="13" xfId="0" applyFont="1" applyFill="1" applyBorder="1" applyAlignment="1">
      <alignment horizontal="left" vertical="top" wrapText="1"/>
    </xf>
    <xf numFmtId="9" fontId="24" fillId="0" borderId="13" xfId="2" applyFont="1" applyFill="1" applyBorder="1" applyAlignment="1">
      <alignment horizontal="center" vertical="top" wrapText="1"/>
    </xf>
    <xf numFmtId="164" fontId="19" fillId="7" borderId="13" xfId="1" applyNumberFormat="1" applyFont="1" applyFill="1" applyBorder="1" applyAlignment="1">
      <alignment vertical="top" wrapText="1"/>
    </xf>
    <xf numFmtId="0" fontId="18" fillId="0" borderId="0" xfId="0" applyFont="1" applyAlignment="1">
      <alignment wrapText="1"/>
    </xf>
    <xf numFmtId="0" fontId="19" fillId="0" borderId="13" xfId="0" applyFont="1" applyBorder="1" applyAlignment="1">
      <alignment horizontal="left" vertical="top" wrapText="1"/>
    </xf>
    <xf numFmtId="0" fontId="25" fillId="0" borderId="13" xfId="0" applyFont="1" applyBorder="1" applyAlignment="1">
      <alignment horizontal="center" vertical="center"/>
    </xf>
    <xf numFmtId="16" fontId="25" fillId="0" borderId="13" xfId="0" applyNumberFormat="1" applyFont="1" applyBorder="1" applyAlignment="1">
      <alignment horizontal="center" vertical="center"/>
    </xf>
    <xf numFmtId="0" fontId="25" fillId="0" borderId="13" xfId="0" applyFont="1" applyBorder="1" applyAlignment="1">
      <alignment vertical="center"/>
    </xf>
    <xf numFmtId="0" fontId="24" fillId="0" borderId="26" xfId="0" applyFont="1" applyFill="1" applyBorder="1" applyAlignment="1">
      <alignment vertical="top"/>
    </xf>
    <xf numFmtId="0" fontId="24" fillId="0" borderId="26" xfId="0" applyFont="1" applyBorder="1" applyAlignment="1">
      <alignment vertical="top"/>
    </xf>
    <xf numFmtId="0" fontId="19" fillId="13" borderId="28" xfId="0" applyFont="1" applyFill="1" applyBorder="1" applyAlignment="1">
      <alignment vertical="top" wrapText="1"/>
    </xf>
    <xf numFmtId="9" fontId="25" fillId="0" borderId="13" xfId="0" applyNumberFormat="1" applyFont="1" applyBorder="1" applyAlignment="1">
      <alignment horizontal="center" vertical="center"/>
    </xf>
    <xf numFmtId="43" fontId="24" fillId="0" borderId="13" xfId="1" applyFont="1" applyFill="1" applyBorder="1" applyAlignment="1">
      <alignment horizontal="center" vertical="top"/>
    </xf>
    <xf numFmtId="0" fontId="18" fillId="0" borderId="0" xfId="0" applyFont="1" applyFill="1" applyBorder="1"/>
    <xf numFmtId="0" fontId="24" fillId="0" borderId="14" xfId="0" applyFont="1" applyBorder="1" applyAlignment="1">
      <alignment horizontal="center" wrapText="1"/>
    </xf>
    <xf numFmtId="0" fontId="24" fillId="0" borderId="11" xfId="0" applyFont="1" applyBorder="1" applyAlignment="1">
      <alignment horizontal="center" wrapText="1"/>
    </xf>
    <xf numFmtId="0" fontId="24" fillId="0" borderId="15" xfId="0" applyFont="1" applyBorder="1" applyAlignment="1">
      <alignment horizontal="center" wrapText="1"/>
    </xf>
    <xf numFmtId="0" fontId="19" fillId="5" borderId="14" xfId="0" applyFont="1" applyFill="1" applyBorder="1" applyAlignment="1">
      <alignment vertical="top" wrapText="1"/>
    </xf>
    <xf numFmtId="0" fontId="19" fillId="5" borderId="11" xfId="0" applyFont="1" applyFill="1" applyBorder="1" applyAlignment="1">
      <alignment vertical="top" wrapText="1"/>
    </xf>
    <xf numFmtId="0" fontId="19" fillId="5" borderId="15" xfId="0" applyFont="1" applyFill="1" applyBorder="1" applyAlignment="1">
      <alignment vertical="top" wrapText="1"/>
    </xf>
    <xf numFmtId="0" fontId="24" fillId="6" borderId="13" xfId="0" applyFont="1" applyFill="1" applyBorder="1" applyAlignment="1">
      <alignment vertical="top"/>
    </xf>
    <xf numFmtId="0" fontId="24" fillId="6" borderId="14" xfId="0" applyFont="1" applyFill="1" applyBorder="1" applyAlignment="1">
      <alignment horizontal="left" vertical="top"/>
    </xf>
    <xf numFmtId="0" fontId="24" fillId="6" borderId="15" xfId="0" applyFont="1" applyFill="1" applyBorder="1" applyAlignment="1">
      <alignment horizontal="left" vertical="top"/>
    </xf>
    <xf numFmtId="0" fontId="35" fillId="0" borderId="0" xfId="0" applyFont="1"/>
    <xf numFmtId="0" fontId="19" fillId="3" borderId="13" xfId="0" applyFont="1" applyFill="1" applyBorder="1" applyAlignment="1">
      <alignment horizontal="center" vertical="top" wrapText="1"/>
    </xf>
    <xf numFmtId="0" fontId="23" fillId="0" borderId="14" xfId="3" applyNumberFormat="1" applyFont="1" applyFill="1" applyBorder="1" applyAlignment="1">
      <alignment horizontal="center" vertical="center"/>
    </xf>
    <xf numFmtId="0" fontId="23" fillId="0" borderId="11" xfId="3" applyNumberFormat="1" applyFont="1" applyFill="1" applyBorder="1" applyAlignment="1">
      <alignment horizontal="center" vertical="center"/>
    </xf>
    <xf numFmtId="0" fontId="23" fillId="0" borderId="15" xfId="3" applyNumberFormat="1" applyFont="1" applyFill="1" applyBorder="1" applyAlignment="1">
      <alignment horizontal="center" vertical="center"/>
    </xf>
    <xf numFmtId="0" fontId="24" fillId="6" borderId="15" xfId="0" applyFont="1" applyFill="1" applyBorder="1" applyAlignment="1">
      <alignment horizontal="left" vertical="top"/>
    </xf>
    <xf numFmtId="0" fontId="24" fillId="6" borderId="13" xfId="0" applyFont="1" applyFill="1" applyBorder="1" applyAlignment="1">
      <alignment horizontal="left"/>
    </xf>
    <xf numFmtId="0" fontId="19" fillId="0" borderId="28" xfId="0" applyFont="1" applyBorder="1" applyAlignment="1">
      <alignment vertical="top" wrapText="1"/>
    </xf>
    <xf numFmtId="0" fontId="24" fillId="0" borderId="14" xfId="0" applyFont="1" applyBorder="1" applyAlignment="1">
      <alignment horizontal="center" vertical="top" wrapText="1"/>
    </xf>
    <xf numFmtId="164" fontId="24" fillId="0" borderId="15" xfId="1" applyNumberFormat="1" applyFont="1" applyBorder="1" applyAlignment="1">
      <alignment vertical="top" wrapText="1"/>
    </xf>
    <xf numFmtId="0" fontId="24" fillId="0" borderId="0" xfId="0" applyFont="1"/>
    <xf numFmtId="0" fontId="24" fillId="6" borderId="14" xfId="0" applyFont="1" applyFill="1" applyBorder="1" applyAlignment="1">
      <alignment horizontal="left" wrapText="1"/>
    </xf>
    <xf numFmtId="0" fontId="24" fillId="6" borderId="11" xfId="0" applyFont="1" applyFill="1" applyBorder="1" applyAlignment="1">
      <alignment horizontal="left" wrapText="1"/>
    </xf>
    <xf numFmtId="0" fontId="24" fillId="6" borderId="15" xfId="0" applyFont="1" applyFill="1" applyBorder="1" applyAlignment="1">
      <alignment horizontal="left" wrapText="1"/>
    </xf>
    <xf numFmtId="0" fontId="24" fillId="6" borderId="14" xfId="0" applyFont="1" applyFill="1" applyBorder="1" applyAlignment="1">
      <alignment horizontal="left"/>
    </xf>
    <xf numFmtId="0" fontId="24" fillId="6" borderId="11" xfId="0" applyFont="1" applyFill="1" applyBorder="1" applyAlignment="1">
      <alignment horizontal="left"/>
    </xf>
    <xf numFmtId="0" fontId="24" fillId="6" borderId="15" xfId="0" applyFont="1" applyFill="1" applyBorder="1" applyAlignment="1">
      <alignment horizontal="left"/>
    </xf>
    <xf numFmtId="164" fontId="24" fillId="0" borderId="26" xfId="1" applyNumberFormat="1" applyFont="1" applyBorder="1" applyAlignment="1">
      <alignment vertical="top" wrapText="1"/>
    </xf>
    <xf numFmtId="9" fontId="24" fillId="0" borderId="13" xfId="0" applyNumberFormat="1" applyFont="1" applyBorder="1" applyAlignment="1">
      <alignment horizontal="center" vertical="top"/>
    </xf>
    <xf numFmtId="0" fontId="19" fillId="0" borderId="13" xfId="0" applyFont="1" applyBorder="1" applyAlignment="1">
      <alignment horizontal="center" vertical="top" wrapText="1"/>
    </xf>
    <xf numFmtId="0" fontId="38" fillId="0" borderId="13" xfId="0" applyFont="1" applyBorder="1" applyAlignment="1">
      <alignment vertical="top" wrapText="1"/>
    </xf>
    <xf numFmtId="164" fontId="19" fillId="0" borderId="13" xfId="1" applyNumberFormat="1" applyFont="1" applyBorder="1" applyAlignment="1">
      <alignment vertical="top" wrapText="1"/>
    </xf>
    <xf numFmtId="164" fontId="19" fillId="14" borderId="13" xfId="1" applyNumberFormat="1" applyFont="1" applyFill="1" applyBorder="1" applyAlignment="1">
      <alignment vertical="top" wrapText="1"/>
    </xf>
    <xf numFmtId="0" fontId="38" fillId="0" borderId="0" xfId="0" applyFont="1"/>
    <xf numFmtId="0" fontId="24" fillId="0" borderId="13"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32" xfId="0" applyFont="1" applyBorder="1" applyAlignment="1">
      <alignment horizontal="left" vertical="center" wrapText="1"/>
    </xf>
    <xf numFmtId="0" fontId="24" fillId="0" borderId="4" xfId="0" applyFont="1" applyBorder="1" applyAlignment="1">
      <alignment horizontal="left" vertical="center" wrapText="1"/>
    </xf>
    <xf numFmtId="0" fontId="24" fillId="0" borderId="29" xfId="0" applyFont="1" applyBorder="1" applyAlignment="1">
      <alignment horizontal="left" vertical="center" wrapText="1"/>
    </xf>
    <xf numFmtId="0" fontId="24" fillId="0" borderId="24" xfId="0" applyFont="1" applyBorder="1" applyAlignment="1">
      <alignment horizontal="left" vertical="center" wrapText="1"/>
    </xf>
    <xf numFmtId="0" fontId="24" fillId="0" borderId="1" xfId="0" applyFont="1" applyBorder="1" applyAlignment="1">
      <alignment horizontal="left" vertical="center" wrapText="1"/>
    </xf>
    <xf numFmtId="0" fontId="24" fillId="0" borderId="25" xfId="0" applyFont="1" applyBorder="1" applyAlignment="1">
      <alignment horizontal="left" vertical="center" wrapText="1"/>
    </xf>
    <xf numFmtId="164" fontId="24" fillId="0" borderId="13" xfId="1" applyNumberFormat="1" applyFont="1" applyBorder="1" applyAlignment="1">
      <alignment horizontal="left" vertical="top" wrapText="1"/>
    </xf>
    <xf numFmtId="9" fontId="24" fillId="0" borderId="13" xfId="2" applyFont="1" applyFill="1" applyBorder="1" applyAlignment="1">
      <alignment vertical="top"/>
    </xf>
    <xf numFmtId="0" fontId="16" fillId="3" borderId="14" xfId="0" applyFont="1" applyFill="1" applyBorder="1" applyAlignment="1">
      <alignment horizontal="center" vertical="top" wrapText="1"/>
    </xf>
    <xf numFmtId="0" fontId="16" fillId="3" borderId="11" xfId="0" applyFont="1" applyFill="1" applyBorder="1" applyAlignment="1">
      <alignment horizontal="center" vertical="top" wrapText="1"/>
    </xf>
    <xf numFmtId="0" fontId="16" fillId="3" borderId="15" xfId="0" applyFont="1" applyFill="1" applyBorder="1" applyAlignment="1">
      <alignment horizontal="center" vertical="top" wrapText="1"/>
    </xf>
    <xf numFmtId="0" fontId="23" fillId="0" borderId="38" xfId="3" applyNumberFormat="1" applyFont="1" applyFill="1" applyBorder="1" applyAlignment="1">
      <alignment horizontal="center" vertical="center"/>
    </xf>
    <xf numFmtId="0" fontId="23" fillId="0" borderId="39" xfId="3" applyNumberFormat="1" applyFont="1" applyFill="1" applyBorder="1" applyAlignment="1">
      <alignment horizontal="center" vertical="center"/>
    </xf>
    <xf numFmtId="0" fontId="23" fillId="0" borderId="40" xfId="3" applyNumberFormat="1" applyFont="1" applyFill="1" applyBorder="1" applyAlignment="1">
      <alignment horizontal="center" vertical="center"/>
    </xf>
    <xf numFmtId="0" fontId="29" fillId="0" borderId="13" xfId="0" applyFont="1" applyBorder="1" applyAlignment="1">
      <alignment horizontal="left"/>
    </xf>
    <xf numFmtId="0" fontId="24" fillId="6" borderId="14" xfId="0" applyFont="1" applyFill="1" applyBorder="1" applyAlignment="1">
      <alignment vertical="top" wrapText="1"/>
    </xf>
    <xf numFmtId="0" fontId="19" fillId="6" borderId="15" xfId="0" applyFont="1" applyFill="1" applyBorder="1" applyAlignment="1">
      <alignment vertical="top" wrapText="1"/>
    </xf>
    <xf numFmtId="0" fontId="29" fillId="0" borderId="13" xfId="0" applyFont="1" applyFill="1" applyBorder="1" applyAlignment="1">
      <alignment horizontal="left" wrapText="1"/>
    </xf>
    <xf numFmtId="0" fontId="29" fillId="0" borderId="14" xfId="0" applyFont="1" applyFill="1" applyBorder="1" applyAlignment="1">
      <alignment horizontal="left"/>
    </xf>
    <xf numFmtId="0" fontId="29" fillId="0" borderId="11" xfId="0" applyFont="1" applyFill="1" applyBorder="1" applyAlignment="1">
      <alignment horizontal="left"/>
    </xf>
    <xf numFmtId="0" fontId="29" fillId="0" borderId="15" xfId="0" applyFont="1" applyFill="1" applyBorder="1" applyAlignment="1">
      <alignment horizontal="left"/>
    </xf>
    <xf numFmtId="0" fontId="18" fillId="0" borderId="13" xfId="0" applyFont="1" applyBorder="1" applyAlignment="1">
      <alignment vertical="top" wrapText="1"/>
    </xf>
    <xf numFmtId="0" fontId="40" fillId="0" borderId="13" xfId="0" applyFont="1" applyBorder="1" applyAlignment="1">
      <alignment horizontal="center" vertical="top" wrapText="1"/>
    </xf>
    <xf numFmtId="0" fontId="40" fillId="0" borderId="14" xfId="0" applyFont="1" applyBorder="1" applyAlignment="1">
      <alignment horizontal="left" vertical="top" wrapText="1"/>
    </xf>
    <xf numFmtId="0" fontId="40" fillId="0" borderId="11" xfId="0" applyFont="1" applyBorder="1" applyAlignment="1">
      <alignment horizontal="left" vertical="top" wrapText="1"/>
    </xf>
    <xf numFmtId="0" fontId="40" fillId="0" borderId="15" xfId="0" applyFont="1" applyBorder="1" applyAlignment="1">
      <alignment horizontal="left" vertical="top" wrapText="1"/>
    </xf>
    <xf numFmtId="164" fontId="40" fillId="0" borderId="13" xfId="1" applyNumberFormat="1" applyFont="1" applyBorder="1" applyAlignment="1">
      <alignment vertical="top" wrapText="1"/>
    </xf>
    <xf numFmtId="164" fontId="40" fillId="14" borderId="13" xfId="1" applyNumberFormat="1" applyFont="1" applyFill="1" applyBorder="1" applyAlignment="1">
      <alignment vertical="top" wrapText="1"/>
    </xf>
    <xf numFmtId="0" fontId="24" fillId="0" borderId="11" xfId="0" applyFont="1" applyBorder="1" applyAlignment="1">
      <alignment vertical="top"/>
    </xf>
    <xf numFmtId="0" fontId="29" fillId="0" borderId="13" xfId="0" applyFont="1" applyFill="1" applyBorder="1" applyAlignment="1">
      <alignment horizontal="justify" wrapText="1"/>
    </xf>
    <xf numFmtId="0" fontId="29" fillId="0" borderId="13" xfId="0" applyFont="1" applyFill="1" applyBorder="1" applyAlignment="1">
      <alignment horizontal="justify" vertical="top" wrapText="1"/>
    </xf>
    <xf numFmtId="3" fontId="24" fillId="0" borderId="13" xfId="0" applyNumberFormat="1" applyFont="1" applyFill="1" applyBorder="1" applyAlignment="1">
      <alignment vertical="top"/>
    </xf>
    <xf numFmtId="3" fontId="24" fillId="0" borderId="13" xfId="0" applyNumberFormat="1" applyFont="1" applyBorder="1" applyAlignment="1">
      <alignment vertical="top"/>
    </xf>
    <xf numFmtId="0" fontId="41" fillId="6" borderId="13" xfId="0" applyFont="1" applyFill="1" applyBorder="1" applyAlignment="1">
      <alignment vertical="top" wrapText="1"/>
    </xf>
    <xf numFmtId="0" fontId="29" fillId="0" borderId="14" xfId="0" applyFont="1" applyFill="1" applyBorder="1" applyAlignment="1">
      <alignment horizontal="left" wrapText="1"/>
    </xf>
    <xf numFmtId="0" fontId="29" fillId="0" borderId="11" xfId="0" applyFont="1" applyFill="1" applyBorder="1" applyAlignment="1">
      <alignment horizontal="left" wrapText="1"/>
    </xf>
    <xf numFmtId="0" fontId="29" fillId="0" borderId="15" xfId="0" applyFont="1" applyFill="1" applyBorder="1" applyAlignment="1">
      <alignment horizontal="left" wrapText="1"/>
    </xf>
    <xf numFmtId="0" fontId="29" fillId="0" borderId="13" xfId="0" applyFont="1" applyFill="1" applyBorder="1" applyAlignment="1">
      <alignment horizontal="left" vertical="top" wrapText="1"/>
    </xf>
    <xf numFmtId="0" fontId="24" fillId="0" borderId="14" xfId="0" applyFont="1" applyBorder="1" applyAlignment="1">
      <alignment vertical="center"/>
    </xf>
    <xf numFmtId="0" fontId="24" fillId="6" borderId="11" xfId="0" applyFont="1" applyFill="1" applyBorder="1" applyAlignment="1">
      <alignment horizontal="left" vertical="top" wrapText="1"/>
    </xf>
    <xf numFmtId="0" fontId="24" fillId="0" borderId="13" xfId="0" applyFont="1" applyFill="1" applyBorder="1" applyAlignment="1">
      <alignment vertical="top" wrapText="1"/>
    </xf>
    <xf numFmtId="0" fontId="19" fillId="0" borderId="37" xfId="0" applyFont="1" applyFill="1" applyBorder="1" applyAlignment="1">
      <alignment horizontal="center" vertical="top" wrapText="1"/>
    </xf>
    <xf numFmtId="0" fontId="42" fillId="6" borderId="13" xfId="0" applyFont="1" applyFill="1" applyBorder="1" applyAlignment="1">
      <alignment horizontal="center" vertical="top" wrapText="1"/>
    </xf>
    <xf numFmtId="0" fontId="29" fillId="0" borderId="0" xfId="0" applyFont="1" applyFill="1" applyBorder="1" applyAlignment="1">
      <alignment horizontal="left" wrapText="1"/>
    </xf>
    <xf numFmtId="0" fontId="24" fillId="0" borderId="0" xfId="0" applyFont="1" applyFill="1" applyBorder="1" applyAlignment="1">
      <alignment vertical="top"/>
    </xf>
    <xf numFmtId="0" fontId="24" fillId="0" borderId="0" xfId="0" applyFont="1" applyBorder="1" applyAlignment="1">
      <alignment vertical="top"/>
    </xf>
    <xf numFmtId="0" fontId="41" fillId="6" borderId="13" xfId="0" applyFont="1" applyFill="1" applyBorder="1" applyAlignment="1">
      <alignment horizontal="right" vertical="top"/>
    </xf>
    <xf numFmtId="0" fontId="41" fillId="6" borderId="13" xfId="0" applyFont="1" applyFill="1" applyBorder="1" applyAlignment="1">
      <alignment horizontal="left" vertical="top"/>
    </xf>
    <xf numFmtId="0" fontId="29" fillId="0" borderId="13" xfId="0" applyNumberFormat="1" applyFont="1" applyFill="1" applyBorder="1" applyAlignment="1">
      <alignment horizontal="left" vertical="center"/>
    </xf>
    <xf numFmtId="0" fontId="29" fillId="0" borderId="13" xfId="0" applyNumberFormat="1" applyFont="1" applyFill="1" applyBorder="1" applyAlignment="1">
      <alignment horizontal="left" vertical="top"/>
    </xf>
    <xf numFmtId="0" fontId="29" fillId="0" borderId="14" xfId="0" applyNumberFormat="1" applyFont="1" applyFill="1" applyBorder="1" applyAlignment="1">
      <alignment horizontal="left" vertical="center"/>
    </xf>
    <xf numFmtId="0" fontId="29" fillId="0" borderId="15" xfId="0" applyNumberFormat="1" applyFont="1" applyFill="1" applyBorder="1" applyAlignment="1">
      <alignment horizontal="left" vertical="center"/>
    </xf>
    <xf numFmtId="0" fontId="41" fillId="6" borderId="13" xfId="0" applyFont="1" applyFill="1" applyBorder="1" applyAlignment="1">
      <alignment horizontal="center" vertical="top" wrapText="1"/>
    </xf>
    <xf numFmtId="0" fontId="19" fillId="0" borderId="14" xfId="0" applyFont="1" applyBorder="1" applyAlignment="1">
      <alignment vertical="top" wrapText="1"/>
    </xf>
    <xf numFmtId="0" fontId="19" fillId="0" borderId="11" xfId="0" applyFont="1" applyBorder="1" applyAlignment="1">
      <alignment vertical="top" wrapText="1"/>
    </xf>
    <xf numFmtId="0" fontId="19" fillId="0" borderId="15" xfId="0" applyFont="1" applyBorder="1" applyAlignment="1">
      <alignment vertical="top" wrapText="1"/>
    </xf>
    <xf numFmtId="164" fontId="24" fillId="0" borderId="13" xfId="1" applyNumberFormat="1" applyFont="1" applyFill="1" applyBorder="1" applyAlignment="1">
      <alignment horizontal="center" vertical="top"/>
    </xf>
    <xf numFmtId="164" fontId="24" fillId="0" borderId="13" xfId="1" applyNumberFormat="1" applyFont="1" applyBorder="1" applyAlignment="1">
      <alignment horizontal="center" vertical="top"/>
    </xf>
    <xf numFmtId="0" fontId="41" fillId="0" borderId="13" xfId="0" applyFont="1" applyFill="1" applyBorder="1" applyAlignment="1">
      <alignment horizontal="right" vertical="top"/>
    </xf>
    <xf numFmtId="0" fontId="24" fillId="0" borderId="13" xfId="0" applyFont="1" applyFill="1" applyBorder="1" applyAlignment="1">
      <alignment horizontal="left" vertical="top" wrapText="1"/>
    </xf>
    <xf numFmtId="164" fontId="24" fillId="0" borderId="13" xfId="0" applyNumberFormat="1" applyFont="1" applyFill="1" applyBorder="1" applyAlignment="1">
      <alignment vertical="top" wrapText="1"/>
    </xf>
    <xf numFmtId="0" fontId="24" fillId="0" borderId="14" xfId="0" applyFont="1" applyBorder="1" applyAlignment="1">
      <alignment vertical="top" wrapText="1"/>
    </xf>
    <xf numFmtId="0" fontId="24" fillId="0" borderId="11" xfId="0" applyFont="1" applyBorder="1" applyAlignment="1">
      <alignment vertical="top" wrapText="1"/>
    </xf>
    <xf numFmtId="0" fontId="24" fillId="0" borderId="15" xfId="0" applyFont="1" applyBorder="1" applyAlignment="1">
      <alignment vertical="top" wrapText="1"/>
    </xf>
    <xf numFmtId="0" fontId="24" fillId="0" borderId="13" xfId="0" applyFont="1" applyFill="1" applyBorder="1" applyAlignment="1">
      <alignment horizontal="left" vertical="center" wrapText="1"/>
    </xf>
    <xf numFmtId="9" fontId="24" fillId="0" borderId="13" xfId="2" applyFont="1" applyFill="1" applyBorder="1" applyAlignment="1">
      <alignment horizontal="center" vertical="center"/>
    </xf>
    <xf numFmtId="9" fontId="24" fillId="0" borderId="13" xfId="2" applyFont="1" applyBorder="1" applyAlignment="1">
      <alignment horizontal="center" vertical="center"/>
    </xf>
    <xf numFmtId="0" fontId="25" fillId="0" borderId="13" xfId="0" applyFont="1" applyBorder="1" applyAlignment="1">
      <alignment horizontal="left" vertical="center" wrapText="1"/>
    </xf>
    <xf numFmtId="0" fontId="29" fillId="0" borderId="14" xfId="0" applyFont="1" applyBorder="1" applyAlignment="1">
      <alignment horizontal="center"/>
    </xf>
    <xf numFmtId="0" fontId="29" fillId="0" borderId="11" xfId="0" applyFont="1" applyBorder="1" applyAlignment="1">
      <alignment horizontal="center"/>
    </xf>
    <xf numFmtId="0" fontId="29" fillId="0" borderId="15" xfId="0" applyFont="1" applyBorder="1" applyAlignment="1">
      <alignment horizontal="center"/>
    </xf>
    <xf numFmtId="0" fontId="24" fillId="6" borderId="14" xfId="0" applyFont="1" applyFill="1" applyBorder="1" applyAlignment="1">
      <alignment vertical="top"/>
    </xf>
    <xf numFmtId="0" fontId="24" fillId="6" borderId="15" xfId="0" applyFont="1" applyFill="1" applyBorder="1" applyAlignment="1">
      <alignment vertical="top" wrapText="1"/>
    </xf>
    <xf numFmtId="0" fontId="19" fillId="8" borderId="26" xfId="0" applyFont="1" applyFill="1" applyBorder="1" applyAlignment="1">
      <alignment vertical="top" wrapText="1"/>
    </xf>
    <xf numFmtId="9" fontId="24" fillId="0" borderId="13" xfId="0" applyNumberFormat="1" applyFont="1" applyFill="1" applyBorder="1" applyAlignment="1">
      <alignment horizontal="center" vertical="center" wrapText="1"/>
    </xf>
    <xf numFmtId="9" fontId="24" fillId="0" borderId="13" xfId="0" applyNumberFormat="1" applyFont="1" applyBorder="1" applyAlignment="1">
      <alignment horizontal="center" vertical="center" wrapText="1"/>
    </xf>
    <xf numFmtId="9" fontId="24" fillId="0" borderId="13" xfId="0" applyNumberFormat="1" applyFont="1" applyBorder="1" applyAlignment="1">
      <alignment horizontal="left" vertical="center" wrapText="1"/>
    </xf>
    <xf numFmtId="168" fontId="24" fillId="0" borderId="13" xfId="2" applyNumberFormat="1" applyFont="1" applyFill="1" applyBorder="1" applyAlignment="1">
      <alignment vertical="top"/>
    </xf>
    <xf numFmtId="0" fontId="24" fillId="0" borderId="13" xfId="0" applyFont="1" applyFill="1" applyBorder="1" applyAlignment="1">
      <alignment vertical="center" wrapText="1"/>
    </xf>
    <xf numFmtId="0" fontId="24" fillId="0" borderId="13" xfId="0" applyFont="1" applyBorder="1" applyAlignment="1">
      <alignment vertical="center" wrapText="1"/>
    </xf>
    <xf numFmtId="0" fontId="24" fillId="0" borderId="13" xfId="0" applyFont="1" applyFill="1" applyBorder="1" applyAlignment="1">
      <alignment horizontal="left" vertical="center"/>
    </xf>
    <xf numFmtId="0" fontId="24" fillId="0" borderId="13" xfId="0" applyFont="1" applyFill="1" applyBorder="1" applyAlignment="1">
      <alignment vertical="center"/>
    </xf>
    <xf numFmtId="0" fontId="24" fillId="0" borderId="13"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3" xfId="0" applyFont="1" applyBorder="1" applyAlignment="1">
      <alignment horizontal="center" vertical="center" wrapText="1"/>
    </xf>
    <xf numFmtId="9" fontId="24" fillId="0" borderId="13" xfId="2" applyFont="1" applyFill="1" applyBorder="1" applyAlignment="1">
      <alignment horizontal="center" vertical="center" wrapText="1"/>
    </xf>
    <xf numFmtId="9" fontId="24" fillId="0" borderId="13" xfId="2" applyFont="1" applyBorder="1" applyAlignment="1">
      <alignment horizontal="center" vertical="center" wrapText="1"/>
    </xf>
    <xf numFmtId="0" fontId="46" fillId="0" borderId="0" xfId="0" applyFont="1"/>
    <xf numFmtId="164" fontId="26" fillId="6" borderId="13" xfId="1" applyNumberFormat="1" applyFont="1" applyFill="1" applyBorder="1" applyAlignment="1">
      <alignment vertical="top" wrapText="1"/>
    </xf>
    <xf numFmtId="3" fontId="48" fillId="0" borderId="0" xfId="3" applyNumberFormat="1" applyFont="1" applyAlignment="1">
      <alignment horizontal="centerContinuous"/>
    </xf>
    <xf numFmtId="0" fontId="49" fillId="0" borderId="0" xfId="3" applyNumberFormat="1" applyFont="1" applyAlignment="1">
      <alignment horizontal="centerContinuous"/>
    </xf>
    <xf numFmtId="164" fontId="49" fillId="0" borderId="0" xfId="4" applyNumberFormat="1" applyFont="1" applyAlignment="1">
      <alignment horizontal="centerContinuous"/>
    </xf>
    <xf numFmtId="3" fontId="51" fillId="0" borderId="0" xfId="3" applyNumberFormat="1" applyFont="1" applyAlignment="1">
      <alignment horizontal="centerContinuous"/>
    </xf>
    <xf numFmtId="0" fontId="20" fillId="0" borderId="0" xfId="3" applyNumberFormat="1" applyFont="1" applyAlignment="1">
      <alignment horizontal="centerContinuous"/>
    </xf>
    <xf numFmtId="3" fontId="49" fillId="0" borderId="0" xfId="3" applyNumberFormat="1" applyFont="1" applyAlignment="1">
      <alignment horizontal="centerContinuous"/>
    </xf>
    <xf numFmtId="0" fontId="49" fillId="0" borderId="0" xfId="3" applyNumberFormat="1" applyFont="1" applyAlignment="1"/>
    <xf numFmtId="0" fontId="20" fillId="0" borderId="0" xfId="3" applyNumberFormat="1" applyFont="1" applyAlignment="1"/>
    <xf numFmtId="3" fontId="51" fillId="0" borderId="19" xfId="3" applyNumberFormat="1" applyFont="1" applyBorder="1" applyAlignment="1">
      <alignment horizontal="centerContinuous"/>
    </xf>
    <xf numFmtId="164" fontId="51" fillId="0" borderId="19" xfId="4" applyNumberFormat="1" applyFont="1" applyBorder="1" applyAlignment="1">
      <alignment horizontal="centerContinuous"/>
    </xf>
    <xf numFmtId="3" fontId="51" fillId="0" borderId="41" xfId="3" applyNumberFormat="1" applyFont="1" applyBorder="1" applyAlignment="1">
      <alignment horizontal="center"/>
    </xf>
    <xf numFmtId="3" fontId="49" fillId="0" borderId="19" xfId="3" applyNumberFormat="1" applyFont="1" applyBorder="1" applyAlignment="1"/>
    <xf numFmtId="3" fontId="51" fillId="0" borderId="19" xfId="3" applyNumberFormat="1" applyFont="1" applyBorder="1" applyAlignment="1"/>
    <xf numFmtId="164" fontId="51" fillId="0" borderId="19" xfId="4" applyNumberFormat="1" applyFont="1" applyBorder="1" applyAlignment="1"/>
    <xf numFmtId="0" fontId="49" fillId="0" borderId="0" xfId="3" applyNumberFormat="1" applyFont="1" applyAlignment="1">
      <alignment horizontal="right"/>
    </xf>
    <xf numFmtId="3" fontId="49" fillId="0" borderId="42" xfId="3" applyNumberFormat="1" applyFont="1" applyBorder="1" applyAlignment="1">
      <alignment horizontal="center"/>
    </xf>
    <xf numFmtId="3" fontId="49" fillId="0" borderId="30" xfId="3" applyNumberFormat="1" applyFont="1" applyBorder="1" applyAlignment="1"/>
    <xf numFmtId="164" fontId="49" fillId="0" borderId="30" xfId="4" applyNumberFormat="1" applyFont="1" applyBorder="1" applyAlignment="1"/>
    <xf numFmtId="3" fontId="49" fillId="0" borderId="30" xfId="3" applyNumberFormat="1" applyFont="1" applyBorder="1" applyAlignment="1">
      <alignment horizontal="center"/>
    </xf>
    <xf numFmtId="10" fontId="49" fillId="0" borderId="42" xfId="3" applyNumberFormat="1" applyFont="1" applyBorder="1" applyAlignment="1">
      <alignment horizontal="center"/>
    </xf>
    <xf numFmtId="10" fontId="49" fillId="0" borderId="30" xfId="3" applyNumberFormat="1" applyFont="1" applyBorder="1" applyAlignment="1"/>
    <xf numFmtId="4" fontId="49" fillId="0" borderId="0" xfId="3" applyNumberFormat="1" applyFont="1" applyAlignment="1"/>
    <xf numFmtId="168" fontId="49" fillId="0" borderId="0" xfId="3" applyNumberFormat="1" applyFont="1" applyAlignment="1"/>
    <xf numFmtId="10" fontId="49" fillId="15" borderId="41" xfId="3" applyNumberFormat="1" applyFont="1" applyFill="1" applyBorder="1" applyAlignment="1">
      <alignment horizontal="center"/>
    </xf>
    <xf numFmtId="3" fontId="49" fillId="15" borderId="41" xfId="3" applyNumberFormat="1" applyFont="1" applyFill="1" applyBorder="1" applyAlignment="1">
      <alignment horizontal="center"/>
    </xf>
    <xf numFmtId="10" fontId="49" fillId="15" borderId="19" xfId="3" applyNumberFormat="1" applyFont="1" applyFill="1" applyBorder="1" applyAlignment="1">
      <alignment horizontal="center"/>
    </xf>
    <xf numFmtId="164" fontId="49" fillId="15" borderId="19" xfId="4" applyNumberFormat="1" applyFont="1" applyFill="1" applyBorder="1" applyAlignment="1"/>
    <xf numFmtId="3" fontId="49" fillId="15" borderId="19" xfId="3" applyNumberFormat="1" applyFont="1" applyFill="1" applyBorder="1" applyAlignment="1">
      <alignment horizontal="center"/>
    </xf>
    <xf numFmtId="10" fontId="49" fillId="0" borderId="41" xfId="3" applyNumberFormat="1" applyFont="1" applyBorder="1" applyAlignment="1">
      <alignment horizontal="center"/>
    </xf>
    <xf numFmtId="3" fontId="49" fillId="0" borderId="41" xfId="3" applyNumberFormat="1" applyFont="1" applyBorder="1" applyAlignment="1">
      <alignment horizontal="center"/>
    </xf>
    <xf numFmtId="10" fontId="49" fillId="0" borderId="19" xfId="3" applyNumberFormat="1" applyFont="1" applyBorder="1" applyAlignment="1">
      <alignment horizontal="center"/>
    </xf>
    <xf numFmtId="164" fontId="49" fillId="0" borderId="19" xfId="4" applyNumberFormat="1" applyFont="1" applyBorder="1" applyAlignment="1"/>
    <xf numFmtId="3" fontId="49" fillId="0" borderId="19" xfId="3" applyNumberFormat="1" applyFont="1" applyBorder="1" applyAlignment="1">
      <alignment horizontal="center"/>
    </xf>
    <xf numFmtId="43" fontId="49" fillId="0" borderId="0" xfId="1" applyFont="1" applyAlignment="1"/>
    <xf numFmtId="0" fontId="51" fillId="0" borderId="30" xfId="3" applyNumberFormat="1" applyFont="1" applyBorder="1" applyAlignment="1"/>
    <xf numFmtId="0" fontId="49" fillId="0" borderId="30" xfId="3" applyNumberFormat="1" applyFont="1" applyBorder="1" applyAlignment="1"/>
    <xf numFmtId="0" fontId="49" fillId="0" borderId="19" xfId="3" applyNumberFormat="1" applyFont="1" applyBorder="1" applyAlignment="1"/>
    <xf numFmtId="0" fontId="49" fillId="0" borderId="41" xfId="3" applyNumberFormat="1" applyFont="1" applyBorder="1" applyAlignment="1"/>
    <xf numFmtId="0" fontId="49" fillId="0" borderId="41" xfId="3" applyNumberFormat="1" applyFont="1" applyBorder="1" applyAlignment="1">
      <alignment horizontal="center"/>
    </xf>
    <xf numFmtId="0" fontId="49" fillId="0" borderId="19" xfId="3" applyNumberFormat="1" applyFont="1" applyBorder="1" applyAlignment="1">
      <alignment horizontal="center"/>
    </xf>
    <xf numFmtId="164" fontId="49" fillId="0" borderId="0" xfId="4" applyNumberFormat="1" applyFont="1" applyAlignment="1"/>
    <xf numFmtId="3" fontId="20" fillId="16" borderId="0" xfId="3" applyNumberFormat="1" applyFont="1" applyFill="1" applyAlignment="1"/>
    <xf numFmtId="3" fontId="49" fillId="16" borderId="30" xfId="3" applyNumberFormat="1" applyFont="1" applyFill="1" applyBorder="1" applyAlignment="1"/>
    <xf numFmtId="3" fontId="49" fillId="16" borderId="42" xfId="3" applyNumberFormat="1" applyFont="1" applyFill="1" applyBorder="1" applyAlignment="1">
      <alignment horizontal="center"/>
    </xf>
    <xf numFmtId="3" fontId="49" fillId="16" borderId="30" xfId="3" applyNumberFormat="1" applyFont="1" applyFill="1" applyBorder="1" applyAlignment="1">
      <alignment horizontal="left"/>
    </xf>
    <xf numFmtId="164" fontId="49" fillId="16" borderId="30" xfId="4" applyNumberFormat="1" applyFont="1" applyFill="1" applyBorder="1" applyAlignment="1">
      <alignment horizontal="center"/>
    </xf>
    <xf numFmtId="3" fontId="49" fillId="16" borderId="30" xfId="3" applyNumberFormat="1" applyFont="1" applyFill="1" applyBorder="1" applyAlignment="1">
      <alignment horizontal="center"/>
    </xf>
    <xf numFmtId="4" fontId="49" fillId="16" borderId="42" xfId="3" applyNumberFormat="1" applyFont="1" applyFill="1" applyBorder="1" applyAlignment="1">
      <alignment horizontal="center"/>
    </xf>
    <xf numFmtId="4" fontId="49" fillId="16" borderId="30" xfId="3" applyNumberFormat="1" applyFont="1" applyFill="1" applyBorder="1" applyAlignment="1">
      <alignment horizontal="center"/>
    </xf>
    <xf numFmtId="4" fontId="49" fillId="0" borderId="30" xfId="3" applyNumberFormat="1" applyFont="1" applyBorder="1" applyAlignment="1">
      <alignment horizontal="center"/>
    </xf>
    <xf numFmtId="0" fontId="49" fillId="16" borderId="0" xfId="3" applyNumberFormat="1" applyFont="1" applyFill="1" applyAlignment="1"/>
    <xf numFmtId="3" fontId="49" fillId="16" borderId="19" xfId="3" applyNumberFormat="1" applyFont="1" applyFill="1" applyBorder="1" applyAlignment="1"/>
    <xf numFmtId="3" fontId="49" fillId="16" borderId="41" xfId="3" applyNumberFormat="1" applyFont="1" applyFill="1" applyBorder="1" applyAlignment="1">
      <alignment horizontal="center"/>
    </xf>
    <xf numFmtId="3" fontId="49" fillId="16" borderId="19" xfId="3" applyNumberFormat="1" applyFont="1" applyFill="1" applyBorder="1" applyAlignment="1">
      <alignment horizontal="left"/>
    </xf>
    <xf numFmtId="164" fontId="49" fillId="16" borderId="19" xfId="4" applyNumberFormat="1" applyFont="1" applyFill="1" applyBorder="1" applyAlignment="1">
      <alignment horizontal="center"/>
    </xf>
    <xf numFmtId="3" fontId="49" fillId="16" borderId="19" xfId="3" applyNumberFormat="1" applyFont="1" applyFill="1" applyBorder="1" applyAlignment="1">
      <alignment horizontal="center"/>
    </xf>
    <xf numFmtId="4" fontId="49" fillId="16" borderId="41" xfId="3" applyNumberFormat="1" applyFont="1" applyFill="1" applyBorder="1" applyAlignment="1">
      <alignment horizontal="center"/>
    </xf>
    <xf numFmtId="4" fontId="49" fillId="16" borderId="19" xfId="3" applyNumberFormat="1" applyFont="1" applyFill="1" applyBorder="1" applyAlignment="1">
      <alignment horizontal="center"/>
    </xf>
    <xf numFmtId="4" fontId="49" fillId="0" borderId="19" xfId="3" applyNumberFormat="1" applyFont="1" applyBorder="1" applyAlignment="1">
      <alignment horizontal="center"/>
    </xf>
    <xf numFmtId="3" fontId="20" fillId="0" borderId="0" xfId="3" applyNumberFormat="1" applyFont="1" applyAlignment="1"/>
    <xf numFmtId="3" fontId="20" fillId="17" borderId="19" xfId="3" applyNumberFormat="1" applyFont="1" applyFill="1" applyBorder="1" applyAlignment="1"/>
    <xf numFmtId="3" fontId="20" fillId="17" borderId="19" xfId="3" applyNumberFormat="1" applyFont="1" applyFill="1" applyBorder="1" applyAlignment="1">
      <alignment horizontal="center"/>
    </xf>
    <xf numFmtId="3" fontId="20" fillId="17" borderId="19" xfId="3" applyNumberFormat="1" applyFont="1" applyFill="1" applyBorder="1" applyAlignment="1">
      <alignment horizontal="left"/>
    </xf>
    <xf numFmtId="164" fontId="20" fillId="17" borderId="19" xfId="4" applyNumberFormat="1" applyFont="1" applyFill="1" applyBorder="1" applyAlignment="1">
      <alignment horizontal="center"/>
    </xf>
    <xf numFmtId="4" fontId="20" fillId="17" borderId="19" xfId="3" applyNumberFormat="1" applyFont="1" applyFill="1" applyBorder="1" applyAlignment="1">
      <alignment horizontal="center"/>
    </xf>
    <xf numFmtId="0" fontId="20" fillId="0" borderId="0" xfId="3" applyNumberFormat="1" applyFont="1"/>
    <xf numFmtId="164" fontId="20" fillId="0" borderId="0" xfId="4" applyNumberFormat="1" applyFont="1"/>
    <xf numFmtId="3" fontId="20" fillId="17" borderId="0" xfId="3" applyNumberFormat="1" applyFont="1" applyFill="1" applyAlignment="1"/>
    <xf numFmtId="3" fontId="20" fillId="17" borderId="0" xfId="3" applyNumberFormat="1" applyFont="1" applyFill="1" applyAlignment="1">
      <alignment horizontal="center"/>
    </xf>
    <xf numFmtId="0" fontId="20" fillId="17" borderId="0" xfId="3" applyNumberFormat="1" applyFont="1" applyFill="1" applyAlignment="1"/>
    <xf numFmtId="164" fontId="20" fillId="17" borderId="0" xfId="4" applyNumberFormat="1" applyFont="1" applyFill="1" applyAlignment="1">
      <alignment horizontal="center"/>
    </xf>
    <xf numFmtId="4" fontId="20" fillId="17" borderId="0" xfId="3" applyNumberFormat="1" applyFont="1" applyFill="1" applyAlignment="1">
      <alignment horizontal="center"/>
    </xf>
    <xf numFmtId="164" fontId="20" fillId="0" borderId="0" xfId="4" applyNumberFormat="1" applyFont="1" applyAlignment="1"/>
    <xf numFmtId="164" fontId="20" fillId="17" borderId="0" xfId="4" applyNumberFormat="1" applyFont="1" applyFill="1" applyAlignment="1"/>
    <xf numFmtId="3" fontId="48" fillId="0" borderId="0" xfId="5" applyNumberFormat="1" applyFont="1" applyAlignment="1">
      <alignment horizontal="centerContinuous"/>
    </xf>
    <xf numFmtId="0" fontId="49" fillId="0" borderId="0" xfId="5" applyNumberFormat="1" applyFont="1" applyAlignment="1">
      <alignment horizontal="centerContinuous"/>
    </xf>
    <xf numFmtId="3" fontId="51" fillId="0" borderId="19" xfId="5" applyNumberFormat="1" applyFont="1" applyBorder="1" applyAlignment="1">
      <alignment horizontal="centerContinuous"/>
    </xf>
    <xf numFmtId="3" fontId="49" fillId="0" borderId="42" xfId="5" applyNumberFormat="1" applyFont="1" applyBorder="1" applyAlignment="1">
      <alignment horizontal="center"/>
    </xf>
    <xf numFmtId="10" fontId="49" fillId="15" borderId="41" xfId="5" applyNumberFormat="1" applyFont="1" applyFill="1" applyBorder="1" applyAlignment="1">
      <alignment horizontal="center"/>
    </xf>
    <xf numFmtId="10" fontId="49" fillId="0" borderId="41" xfId="5" applyNumberFormat="1" applyFont="1" applyBorder="1" applyAlignment="1">
      <alignment horizontal="center"/>
    </xf>
    <xf numFmtId="3" fontId="49" fillId="15" borderId="41" xfId="5" applyNumberFormat="1" applyFont="1" applyFill="1" applyBorder="1" applyAlignment="1">
      <alignment horizontal="center"/>
    </xf>
    <xf numFmtId="3" fontId="49" fillId="0" borderId="41" xfId="5" applyNumberFormat="1" applyFont="1" applyBorder="1" applyAlignment="1">
      <alignment horizontal="center"/>
    </xf>
    <xf numFmtId="10" fontId="49" fillId="0" borderId="42" xfId="5" applyNumberFormat="1" applyFont="1" applyBorder="1" applyAlignment="1">
      <alignment horizontal="center"/>
    </xf>
    <xf numFmtId="0" fontId="52" fillId="0" borderId="2" xfId="6" applyNumberFormat="1" applyFont="1" applyFill="1" applyBorder="1" applyAlignment="1">
      <alignment vertical="center"/>
    </xf>
    <xf numFmtId="0" fontId="53" fillId="0" borderId="2" xfId="6" applyNumberFormat="1" applyFont="1" applyFill="1" applyBorder="1" applyAlignment="1">
      <alignment vertical="top"/>
    </xf>
    <xf numFmtId="1" fontId="52" fillId="0" borderId="2" xfId="6" applyNumberFormat="1" applyFont="1" applyFill="1" applyBorder="1" applyAlignment="1">
      <alignment horizontal="fill" vertical="center"/>
    </xf>
    <xf numFmtId="0" fontId="20" fillId="18" borderId="0" xfId="6" applyFont="1" applyFill="1" applyBorder="1"/>
    <xf numFmtId="0" fontId="20" fillId="0" borderId="0" xfId="6" applyFont="1" applyBorder="1"/>
    <xf numFmtId="0" fontId="20" fillId="0" borderId="0" xfId="6" applyFont="1"/>
    <xf numFmtId="0" fontId="20" fillId="0" borderId="0" xfId="6" applyNumberFormat="1" applyFont="1" applyFill="1" applyBorder="1" applyAlignment="1">
      <alignment horizontal="center" vertical="center"/>
    </xf>
    <xf numFmtId="0" fontId="20" fillId="0" borderId="43" xfId="6" applyNumberFormat="1" applyFont="1" applyFill="1" applyBorder="1" applyAlignment="1">
      <alignment vertical="center"/>
    </xf>
    <xf numFmtId="0" fontId="20" fillId="0" borderId="0" xfId="6" applyNumberFormat="1" applyFont="1" applyFill="1" applyBorder="1" applyAlignment="1">
      <alignment vertical="center"/>
    </xf>
    <xf numFmtId="0" fontId="20" fillId="6" borderId="0" xfId="6" applyFill="1"/>
    <xf numFmtId="0" fontId="20" fillId="0" borderId="0" xfId="6"/>
    <xf numFmtId="0" fontId="23" fillId="0" borderId="0" xfId="4" applyNumberFormat="1" applyFont="1" applyFill="1" applyBorder="1" applyAlignment="1">
      <alignment horizontal="center" vertical="top" wrapText="1"/>
    </xf>
    <xf numFmtId="0" fontId="23" fillId="0" borderId="0" xfId="6" applyNumberFormat="1" applyFont="1" applyFill="1" applyBorder="1" applyAlignment="1">
      <alignment vertical="center"/>
    </xf>
    <xf numFmtId="0" fontId="23" fillId="0" borderId="43" xfId="6" applyNumberFormat="1" applyFont="1" applyFill="1" applyBorder="1" applyAlignment="1">
      <alignment vertical="center"/>
    </xf>
    <xf numFmtId="0" fontId="54" fillId="0" borderId="0" xfId="4" applyNumberFormat="1" applyFont="1" applyFill="1" applyBorder="1" applyAlignment="1">
      <alignment horizontal="center" vertical="top" wrapText="1"/>
    </xf>
    <xf numFmtId="0" fontId="54" fillId="0" borderId="0" xfId="6" applyNumberFormat="1" applyFont="1" applyFill="1" applyBorder="1" applyAlignment="1">
      <alignment vertical="center"/>
    </xf>
    <xf numFmtId="0" fontId="20" fillId="0" borderId="0" xfId="6" applyFill="1" applyBorder="1"/>
    <xf numFmtId="0" fontId="20" fillId="0" borderId="0" xfId="6" applyNumberFormat="1" applyFont="1" applyFill="1" applyBorder="1" applyAlignment="1">
      <alignment horizontal="center" vertical="top"/>
    </xf>
    <xf numFmtId="0" fontId="20" fillId="0" borderId="43" xfId="6" applyNumberFormat="1" applyFont="1" applyFill="1" applyBorder="1" applyAlignment="1">
      <alignment horizontal="left" vertical="top"/>
    </xf>
    <xf numFmtId="0" fontId="20" fillId="0" borderId="0" xfId="6" applyNumberFormat="1" applyFont="1" applyFill="1" applyBorder="1" applyAlignment="1">
      <alignment horizontal="left" vertical="top"/>
    </xf>
    <xf numFmtId="0" fontId="55" fillId="0" borderId="0" xfId="6" applyFont="1" applyFill="1" applyBorder="1" applyAlignment="1">
      <alignment horizontal="center"/>
    </xf>
    <xf numFmtId="0" fontId="55" fillId="0" borderId="43" xfId="6" applyFont="1" applyFill="1" applyBorder="1" applyAlignment="1">
      <alignment horizontal="left"/>
    </xf>
    <xf numFmtId="0" fontId="23" fillId="0" borderId="0" xfId="7" applyNumberFormat="1" applyFont="1" applyFill="1" applyBorder="1" applyAlignment="1">
      <alignment horizontal="center" vertical="top" wrapText="1"/>
    </xf>
    <xf numFmtId="0" fontId="55" fillId="0" borderId="0" xfId="6" applyFont="1" applyFill="1" applyBorder="1" applyAlignment="1">
      <alignment horizontal="left"/>
    </xf>
    <xf numFmtId="0" fontId="20" fillId="19" borderId="44" xfId="6" applyFont="1" applyFill="1" applyBorder="1" applyAlignment="1">
      <alignment horizontal="center"/>
    </xf>
    <xf numFmtId="0" fontId="20" fillId="19" borderId="45" xfId="6" applyFont="1" applyFill="1" applyBorder="1"/>
    <xf numFmtId="0" fontId="20" fillId="18" borderId="46" xfId="6" applyFont="1" applyFill="1" applyBorder="1" applyAlignment="1">
      <alignment horizontal="center"/>
    </xf>
    <xf numFmtId="0" fontId="20" fillId="18" borderId="47" xfId="6" applyFont="1" applyFill="1" applyBorder="1"/>
    <xf numFmtId="0" fontId="20" fillId="18" borderId="44" xfId="6" applyFont="1" applyFill="1" applyBorder="1" applyAlignment="1">
      <alignment horizontal="center"/>
    </xf>
    <xf numFmtId="0" fontId="20" fillId="18" borderId="45" xfId="6" applyFont="1" applyFill="1" applyBorder="1"/>
    <xf numFmtId="0" fontId="20" fillId="19" borderId="46" xfId="6" applyFont="1" applyFill="1" applyBorder="1" applyAlignment="1">
      <alignment horizontal="center"/>
    </xf>
    <xf numFmtId="0" fontId="20" fillId="19" borderId="47" xfId="6" applyFont="1" applyFill="1" applyBorder="1"/>
    <xf numFmtId="0" fontId="20" fillId="0" borderId="48" xfId="6" applyBorder="1" applyAlignment="1">
      <alignment horizontal="center"/>
    </xf>
    <xf numFmtId="1" fontId="52" fillId="0" borderId="0" xfId="6" applyNumberFormat="1" applyFont="1" applyFill="1" applyBorder="1" applyAlignment="1">
      <alignment horizontal="fill" vertical="center"/>
    </xf>
    <xf numFmtId="0" fontId="48" fillId="0" borderId="19" xfId="3" applyNumberFormat="1" applyFont="1" applyBorder="1" applyAlignment="1">
      <alignment horizontal="center"/>
    </xf>
    <xf numFmtId="0" fontId="20" fillId="0" borderId="11" xfId="3" applyNumberFormat="1" applyFont="1" applyBorder="1" applyAlignment="1">
      <alignment horizontal="center"/>
    </xf>
    <xf numFmtId="0" fontId="48" fillId="0" borderId="11" xfId="3" applyNumberFormat="1" applyFont="1" applyBorder="1" applyAlignment="1">
      <alignment horizontal="left"/>
    </xf>
    <xf numFmtId="170" fontId="20" fillId="0" borderId="0" xfId="3" applyNumberFormat="1" applyFont="1" applyAlignment="1"/>
    <xf numFmtId="0" fontId="20" fillId="0" borderId="0" xfId="3"/>
    <xf numFmtId="0" fontId="20" fillId="0" borderId="0" xfId="3" applyNumberFormat="1" applyFont="1" applyAlignment="1">
      <alignment horizontal="center"/>
    </xf>
    <xf numFmtId="0" fontId="20" fillId="0" borderId="0" xfId="3" applyNumberFormat="1" applyFont="1" applyFill="1" applyAlignment="1">
      <alignment horizontal="center"/>
    </xf>
    <xf numFmtId="0" fontId="56" fillId="0" borderId="0" xfId="3" applyNumberFormat="1" applyFont="1" applyFill="1" applyAlignment="1">
      <alignment horizontal="left"/>
    </xf>
    <xf numFmtId="0" fontId="20" fillId="0" borderId="0" xfId="3" applyNumberFormat="1" applyFont="1" applyFill="1" applyAlignment="1">
      <alignment horizontal="left"/>
    </xf>
    <xf numFmtId="0" fontId="20" fillId="0" borderId="0" xfId="3" applyNumberFormat="1" applyFont="1" applyFill="1" applyAlignment="1"/>
    <xf numFmtId="0" fontId="48" fillId="0" borderId="19" xfId="3" applyNumberFormat="1" applyFont="1" applyFill="1" applyBorder="1" applyAlignment="1">
      <alignment horizontal="center"/>
    </xf>
    <xf numFmtId="0" fontId="20" fillId="0" borderId="30" xfId="3" applyNumberFormat="1" applyFont="1" applyFill="1" applyBorder="1" applyAlignment="1">
      <alignment horizontal="center"/>
    </xf>
    <xf numFmtId="0" fontId="20" fillId="0" borderId="0" xfId="8" applyNumberFormat="1" applyFont="1" applyFill="1" applyAlignment="1">
      <alignment horizontal="center"/>
    </xf>
    <xf numFmtId="0" fontId="20" fillId="0" borderId="0" xfId="8" applyNumberFormat="1" applyFont="1" applyFill="1" applyAlignment="1">
      <alignment horizontal="left"/>
    </xf>
    <xf numFmtId="0" fontId="20" fillId="0" borderId="0" xfId="8" applyNumberFormat="1" applyFont="1" applyAlignment="1">
      <alignment horizontal="center"/>
    </xf>
    <xf numFmtId="0" fontId="20" fillId="0" borderId="0" xfId="8" applyNumberFormat="1" applyFont="1" applyAlignment="1">
      <alignment horizontal="left"/>
    </xf>
    <xf numFmtId="0" fontId="20" fillId="0" borderId="0" xfId="3" applyNumberFormat="1" applyFont="1" applyAlignment="1">
      <alignment horizontal="left"/>
    </xf>
    <xf numFmtId="0" fontId="48" fillId="0" borderId="30" xfId="3" applyNumberFormat="1" applyFont="1" applyBorder="1" applyAlignment="1">
      <alignment horizontal="center"/>
    </xf>
    <xf numFmtId="0" fontId="48" fillId="0" borderId="0" xfId="3" applyNumberFormat="1" applyFont="1" applyFill="1" applyBorder="1" applyAlignment="1">
      <alignment horizontal="center"/>
    </xf>
    <xf numFmtId="0" fontId="57" fillId="0" borderId="0" xfId="3" applyNumberFormat="1" applyFont="1" applyFill="1" applyBorder="1" applyAlignment="1"/>
    <xf numFmtId="0" fontId="48" fillId="0" borderId="2" xfId="3" applyNumberFormat="1" applyFont="1" applyFill="1" applyBorder="1" applyAlignment="1">
      <alignment horizontal="center"/>
    </xf>
    <xf numFmtId="0" fontId="56" fillId="20" borderId="0" xfId="3" applyNumberFormat="1" applyFont="1" applyFill="1" applyAlignment="1">
      <alignment horizontal="left"/>
    </xf>
    <xf numFmtId="0" fontId="20" fillId="0" borderId="0" xfId="8" applyNumberFormat="1" applyFont="1" applyAlignment="1">
      <alignment horizontal="left" wrapText="1"/>
    </xf>
    <xf numFmtId="0" fontId="20" fillId="0" borderId="30" xfId="3" applyNumberFormat="1" applyFont="1" applyBorder="1" applyAlignment="1">
      <alignment horizontal="center"/>
    </xf>
    <xf numFmtId="0" fontId="48" fillId="0" borderId="0" xfId="3" applyNumberFormat="1" applyFont="1" applyBorder="1" applyAlignment="1">
      <alignment horizontal="center"/>
    </xf>
    <xf numFmtId="0" fontId="20" fillId="0" borderId="0" xfId="3" applyNumberFormat="1" applyFont="1" applyBorder="1" applyAlignment="1">
      <alignment horizontal="center"/>
    </xf>
    <xf numFmtId="0" fontId="23" fillId="0" borderId="0" xfId="3" applyNumberFormat="1" applyFont="1" applyFill="1" applyAlignment="1"/>
    <xf numFmtId="0" fontId="20" fillId="0" borderId="0" xfId="3" applyNumberFormat="1" applyFont="1" applyFill="1" applyBorder="1" applyAlignment="1">
      <alignment horizontal="center"/>
    </xf>
    <xf numFmtId="0" fontId="58" fillId="0" borderId="0" xfId="3" applyNumberFormat="1" applyFont="1" applyAlignment="1">
      <alignment horizontal="left"/>
    </xf>
    <xf numFmtId="0" fontId="58" fillId="0" borderId="0" xfId="3" applyNumberFormat="1" applyFont="1" applyAlignment="1"/>
    <xf numFmtId="0" fontId="59" fillId="0" borderId="0" xfId="3" applyFont="1"/>
    <xf numFmtId="0" fontId="56" fillId="21" borderId="0" xfId="3" applyNumberFormat="1" applyFont="1" applyFill="1" applyAlignment="1"/>
    <xf numFmtId="0" fontId="20" fillId="0" borderId="0" xfId="8" applyNumberFormat="1" applyFont="1" applyFill="1" applyBorder="1" applyAlignment="1">
      <alignment horizontal="center"/>
    </xf>
    <xf numFmtId="3" fontId="23" fillId="0" borderId="0" xfId="8" applyNumberFormat="1" applyFont="1" applyFill="1" applyAlignment="1"/>
    <xf numFmtId="0" fontId="56" fillId="0" borderId="0" xfId="3" applyNumberFormat="1" applyFont="1" applyFill="1" applyAlignment="1"/>
    <xf numFmtId="0" fontId="48" fillId="0" borderId="22" xfId="3" applyNumberFormat="1" applyFont="1" applyFill="1" applyBorder="1" applyAlignment="1">
      <alignment horizontal="center"/>
    </xf>
    <xf numFmtId="0" fontId="48" fillId="0" borderId="2" xfId="3" applyNumberFormat="1" applyFont="1" applyBorder="1" applyAlignment="1">
      <alignment horizontal="center"/>
    </xf>
    <xf numFmtId="0" fontId="56" fillId="0" borderId="0" xfId="3" applyNumberFormat="1" applyFont="1" applyFill="1" applyBorder="1" applyAlignment="1"/>
    <xf numFmtId="0" fontId="60" fillId="0" borderId="0" xfId="3" applyNumberFormat="1" applyFont="1" applyAlignment="1"/>
    <xf numFmtId="0" fontId="20" fillId="0" borderId="0" xfId="3" applyNumberFormat="1" applyFont="1" applyFill="1" applyProtection="1">
      <protection locked="0"/>
    </xf>
    <xf numFmtId="0" fontId="58" fillId="0" borderId="0" xfId="3" applyNumberFormat="1" applyFont="1" applyFill="1" applyAlignment="1">
      <alignment horizontal="left"/>
    </xf>
    <xf numFmtId="0" fontId="56" fillId="0" borderId="0" xfId="3" applyNumberFormat="1" applyFont="1" applyFill="1" applyBorder="1" applyAlignment="1">
      <alignment vertical="center"/>
    </xf>
    <xf numFmtId="0" fontId="61" fillId="0" borderId="0" xfId="3" applyNumberFormat="1" applyFont="1" applyAlignment="1">
      <alignment horizontal="left"/>
    </xf>
    <xf numFmtId="0" fontId="20" fillId="0" borderId="0" xfId="3" applyNumberFormat="1" applyFont="1" applyFill="1" applyBorder="1" applyAlignment="1"/>
    <xf numFmtId="0" fontId="58" fillId="0" borderId="0" xfId="3" applyNumberFormat="1" applyFont="1" applyFill="1" applyAlignment="1">
      <alignment vertical="center"/>
    </xf>
    <xf numFmtId="0" fontId="48" fillId="16" borderId="19" xfId="3" applyNumberFormat="1" applyFont="1" applyFill="1" applyBorder="1" applyAlignment="1">
      <alignment horizontal="center"/>
    </xf>
    <xf numFmtId="0" fontId="48" fillId="0" borderId="22" xfId="3" applyNumberFormat="1" applyFont="1" applyBorder="1" applyAlignment="1">
      <alignment horizontal="center"/>
    </xf>
    <xf numFmtId="3" fontId="57" fillId="0" borderId="0" xfId="3" applyNumberFormat="1" applyFont="1" applyFill="1" applyBorder="1" applyAlignment="1"/>
    <xf numFmtId="0" fontId="48" fillId="0" borderId="0" xfId="8" applyNumberFormat="1" applyFont="1" applyAlignment="1">
      <alignment horizontal="left"/>
    </xf>
    <xf numFmtId="0" fontId="48" fillId="0" borderId="11" xfId="3" applyNumberFormat="1" applyFont="1" applyBorder="1" applyAlignment="1">
      <alignment horizontal="center"/>
    </xf>
    <xf numFmtId="0" fontId="58" fillId="16" borderId="0" xfId="3" applyNumberFormat="1" applyFont="1" applyFill="1" applyAlignment="1">
      <alignment horizontal="left"/>
    </xf>
    <xf numFmtId="0" fontId="54" fillId="0" borderId="0" xfId="3" applyNumberFormat="1" applyFont="1" applyFill="1" applyAlignment="1"/>
    <xf numFmtId="0" fontId="48" fillId="0" borderId="30" xfId="3" applyNumberFormat="1" applyFont="1" applyFill="1" applyBorder="1" applyAlignment="1">
      <alignment horizontal="center"/>
    </xf>
    <xf numFmtId="0" fontId="63" fillId="0" borderId="0" xfId="3" applyNumberFormat="1" applyFont="1" applyFill="1" applyAlignment="1"/>
    <xf numFmtId="0" fontId="61" fillId="0" borderId="0" xfId="3" applyNumberFormat="1" applyFont="1" applyAlignment="1"/>
    <xf numFmtId="0" fontId="20" fillId="0" borderId="1" xfId="8" applyNumberFormat="1" applyFont="1" applyBorder="1" applyAlignment="1">
      <alignment horizontal="center"/>
    </xf>
    <xf numFmtId="0" fontId="48" fillId="0" borderId="0" xfId="3" applyNumberFormat="1" applyFont="1" applyAlignment="1">
      <alignment horizontal="center"/>
    </xf>
    <xf numFmtId="0" fontId="20" fillId="0" borderId="0" xfId="3" applyNumberFormat="1" applyFont="1" applyBorder="1" applyAlignment="1"/>
    <xf numFmtId="0" fontId="20" fillId="0" borderId="0" xfId="8" applyNumberFormat="1" applyFont="1" applyBorder="1" applyAlignment="1">
      <alignment horizontal="center"/>
    </xf>
    <xf numFmtId="170" fontId="48" fillId="0" borderId="19" xfId="3" applyNumberFormat="1" applyFont="1" applyBorder="1" applyAlignment="1">
      <alignment horizontal="center"/>
    </xf>
    <xf numFmtId="0" fontId="57" fillId="0" borderId="0" xfId="3" applyNumberFormat="1" applyFont="1" applyFill="1" applyBorder="1" applyAlignment="1">
      <alignment horizontal="left" vertical="center"/>
    </xf>
    <xf numFmtId="0" fontId="49" fillId="0" borderId="0" xfId="3" applyNumberFormat="1" applyFont="1" applyFill="1" applyAlignment="1"/>
    <xf numFmtId="0" fontId="20" fillId="0" borderId="0" xfId="3" applyFill="1"/>
    <xf numFmtId="0" fontId="20" fillId="22" borderId="0" xfId="3" applyNumberFormat="1" applyFont="1" applyFill="1" applyAlignment="1"/>
    <xf numFmtId="0" fontId="48" fillId="0" borderId="0" xfId="3" applyNumberFormat="1" applyFont="1" applyAlignment="1">
      <alignment horizontal="left"/>
    </xf>
    <xf numFmtId="0" fontId="48" fillId="0" borderId="0" xfId="3" applyNumberFormat="1" applyFont="1" applyAlignment="1"/>
    <xf numFmtId="0" fontId="48" fillId="0" borderId="0" xfId="3" applyFont="1"/>
    <xf numFmtId="0" fontId="20" fillId="0" borderId="0" xfId="8" applyFont="1" applyAlignment="1">
      <alignment vertical="top"/>
    </xf>
    <xf numFmtId="170" fontId="48" fillId="0" borderId="2" xfId="3" applyNumberFormat="1" applyFont="1" applyBorder="1" applyAlignment="1">
      <alignment horizontal="center"/>
    </xf>
    <xf numFmtId="0" fontId="20" fillId="0" borderId="0" xfId="3" applyNumberFormat="1" applyFont="1" applyFill="1" applyAlignment="1" applyProtection="1">
      <alignment horizontal="center"/>
      <protection locked="0"/>
    </xf>
    <xf numFmtId="0" fontId="23" fillId="0" borderId="0" xfId="3" applyNumberFormat="1" applyFont="1" applyFill="1" applyAlignment="1">
      <alignment horizontal="center"/>
    </xf>
    <xf numFmtId="0" fontId="49" fillId="0" borderId="0" xfId="8"/>
    <xf numFmtId="0" fontId="48" fillId="0" borderId="5" xfId="8" applyNumberFormat="1" applyFont="1" applyBorder="1" applyAlignment="1">
      <alignment horizontal="left"/>
    </xf>
    <xf numFmtId="170" fontId="48" fillId="0" borderId="3" xfId="8" applyNumberFormat="1" applyFont="1" applyBorder="1" applyAlignment="1">
      <alignment horizontal="center"/>
    </xf>
    <xf numFmtId="0" fontId="48" fillId="0" borderId="0" xfId="8" applyNumberFormat="1" applyFont="1" applyBorder="1" applyAlignment="1">
      <alignment horizontal="center"/>
    </xf>
    <xf numFmtId="0" fontId="20" fillId="0" borderId="0" xfId="6" applyNumberFormat="1" applyFont="1" applyAlignment="1"/>
    <xf numFmtId="0" fontId="64" fillId="0" borderId="0" xfId="0" applyFont="1" applyAlignment="1">
      <alignment horizontal="center" vertical="center"/>
    </xf>
    <xf numFmtId="0" fontId="64" fillId="0" borderId="0" xfId="0" applyFont="1" applyAlignment="1">
      <alignment horizontal="center" vertical="center"/>
    </xf>
    <xf numFmtId="0" fontId="64" fillId="0" borderId="1" xfId="0" applyFont="1" applyBorder="1" applyAlignment="1">
      <alignment horizontal="center" vertical="center"/>
    </xf>
    <xf numFmtId="0" fontId="65" fillId="0" borderId="0" xfId="0" applyFont="1" applyBorder="1" applyAlignment="1">
      <alignment horizontal="center" vertical="center"/>
    </xf>
    <xf numFmtId="0" fontId="66" fillId="0" borderId="0" xfId="0" applyFont="1" applyAlignment="1">
      <alignment horizontal="center" vertical="center"/>
    </xf>
    <xf numFmtId="0" fontId="66" fillId="0" borderId="0" xfId="0" applyFont="1" applyAlignment="1">
      <alignment horizontal="center" vertical="center"/>
    </xf>
    <xf numFmtId="0" fontId="67" fillId="0" borderId="0" xfId="6" applyNumberFormat="1" applyFont="1" applyAlignment="1">
      <alignment horizontal="centerContinuous"/>
    </xf>
    <xf numFmtId="0" fontId="67" fillId="0" borderId="0" xfId="6" applyNumberFormat="1" applyFont="1" applyAlignment="1">
      <alignment horizontal="center"/>
    </xf>
    <xf numFmtId="164" fontId="20" fillId="0" borderId="0" xfId="4" applyNumberFormat="1" applyFont="1" applyAlignment="1">
      <alignment horizontal="centerContinuous"/>
    </xf>
    <xf numFmtId="0" fontId="20" fillId="0" borderId="0" xfId="6" applyNumberFormat="1" applyFont="1" applyAlignment="1">
      <alignment horizontal="centerContinuous"/>
    </xf>
    <xf numFmtId="0" fontId="48" fillId="0" borderId="30" xfId="6" applyNumberFormat="1" applyFont="1" applyBorder="1" applyAlignment="1"/>
    <xf numFmtId="0" fontId="48" fillId="0" borderId="30" xfId="6" applyNumberFormat="1" applyFont="1" applyBorder="1" applyAlignment="1">
      <alignment horizontal="center"/>
    </xf>
    <xf numFmtId="3" fontId="48" fillId="0" borderId="30" xfId="6" applyNumberFormat="1" applyFont="1" applyBorder="1" applyAlignment="1">
      <alignment horizontal="right"/>
    </xf>
    <xf numFmtId="0" fontId="20" fillId="0" borderId="30" xfId="6" applyNumberFormat="1" applyFont="1" applyBorder="1"/>
    <xf numFmtId="1" fontId="54" fillId="0" borderId="30" xfId="6" applyNumberFormat="1" applyFont="1" applyBorder="1" applyAlignment="1">
      <alignment horizontal="left"/>
    </xf>
    <xf numFmtId="164" fontId="20" fillId="0" borderId="30" xfId="4" applyNumberFormat="1" applyFont="1" applyBorder="1"/>
    <xf numFmtId="0" fontId="23" fillId="0" borderId="25" xfId="6" applyNumberFormat="1" applyFont="1" applyBorder="1" applyAlignment="1">
      <alignment horizontal="center"/>
    </xf>
    <xf numFmtId="0" fontId="23" fillId="0" borderId="26" xfId="6" applyNumberFormat="1" applyFont="1" applyBorder="1" applyAlignment="1">
      <alignment horizontal="left"/>
    </xf>
    <xf numFmtId="164" fontId="20" fillId="0" borderId="24" xfId="1" applyNumberFormat="1" applyFont="1" applyFill="1" applyBorder="1" applyAlignment="1">
      <alignment horizontal="right" vertical="center"/>
    </xf>
    <xf numFmtId="164" fontId="23" fillId="0" borderId="0" xfId="1" applyNumberFormat="1" applyFont="1" applyAlignment="1"/>
    <xf numFmtId="0" fontId="23" fillId="0" borderId="24" xfId="6" applyNumberFormat="1" applyFont="1" applyBorder="1" applyAlignment="1">
      <alignment horizontal="left"/>
    </xf>
    <xf numFmtId="0" fontId="20" fillId="0" borderId="11" xfId="6" applyNumberFormat="1" applyFont="1" applyBorder="1" applyAlignment="1">
      <alignment horizontal="center"/>
    </xf>
    <xf numFmtId="164" fontId="20" fillId="0" borderId="0" xfId="1" applyNumberFormat="1" applyFont="1" applyAlignment="1"/>
    <xf numFmtId="1" fontId="54" fillId="0" borderId="10" xfId="6" applyNumberFormat="1" applyFont="1" applyBorder="1" applyAlignment="1"/>
    <xf numFmtId="164" fontId="54" fillId="0" borderId="10" xfId="1" applyNumberFormat="1" applyFont="1" applyBorder="1" applyAlignment="1"/>
    <xf numFmtId="164" fontId="23" fillId="0" borderId="10" xfId="1" applyNumberFormat="1" applyFont="1" applyBorder="1" applyAlignment="1"/>
    <xf numFmtId="0" fontId="23" fillId="0" borderId="0" xfId="6" applyNumberFormat="1" applyFont="1" applyAlignment="1">
      <alignment horizontal="center"/>
    </xf>
    <xf numFmtId="0" fontId="63" fillId="0" borderId="0" xfId="6" applyNumberFormat="1" applyFont="1" applyAlignment="1">
      <alignment horizontal="center"/>
    </xf>
    <xf numFmtId="0" fontId="54" fillId="0" borderId="49" xfId="6" applyNumberFormat="1" applyFont="1" applyBorder="1" applyAlignment="1">
      <alignment horizontal="center"/>
    </xf>
    <xf numFmtId="164" fontId="20" fillId="0" borderId="50" xfId="1" applyNumberFormat="1" applyFont="1" applyBorder="1"/>
    <xf numFmtId="164" fontId="20" fillId="0" borderId="10" xfId="1" applyNumberFormat="1" applyFont="1" applyBorder="1" applyAlignment="1">
      <alignment horizontal="right"/>
    </xf>
    <xf numFmtId="164" fontId="48" fillId="0" borderId="10" xfId="1" applyNumberFormat="1" applyFont="1" applyBorder="1" applyAlignment="1">
      <alignment horizontal="right"/>
    </xf>
    <xf numFmtId="0" fontId="20" fillId="0" borderId="0" xfId="6" applyNumberFormat="1" applyFont="1" applyBorder="1"/>
    <xf numFmtId="164" fontId="20" fillId="0" borderId="0" xfId="1" applyNumberFormat="1" applyFont="1" applyBorder="1"/>
    <xf numFmtId="0" fontId="67" fillId="0" borderId="0" xfId="6" applyNumberFormat="1" applyFont="1" applyAlignment="1">
      <alignment horizontal="right"/>
    </xf>
    <xf numFmtId="0" fontId="54" fillId="0" borderId="0" xfId="6" applyNumberFormat="1" applyFont="1" applyAlignment="1">
      <alignment horizontal="left"/>
    </xf>
    <xf numFmtId="164" fontId="48" fillId="0" borderId="0" xfId="1" applyNumberFormat="1" applyFont="1" applyAlignment="1"/>
    <xf numFmtId="0" fontId="48" fillId="0" borderId="0" xfId="6" applyNumberFormat="1" applyFont="1" applyAlignment="1">
      <alignment horizontal="center"/>
    </xf>
    <xf numFmtId="164" fontId="48" fillId="0" borderId="19" xfId="1" applyNumberFormat="1" applyFont="1" applyBorder="1" applyAlignment="1"/>
    <xf numFmtId="0" fontId="48" fillId="0" borderId="0" xfId="6" applyNumberFormat="1" applyFont="1" applyAlignment="1">
      <alignment horizontal="centerContinuous"/>
    </xf>
    <xf numFmtId="0" fontId="48" fillId="0" borderId="0" xfId="6" applyNumberFormat="1" applyFont="1" applyAlignment="1"/>
    <xf numFmtId="0" fontId="68" fillId="0" borderId="2" xfId="6" applyNumberFormat="1" applyFont="1" applyBorder="1" applyAlignment="1">
      <alignment horizontal="center" vertical="center" wrapText="1"/>
    </xf>
    <xf numFmtId="0" fontId="68" fillId="0" borderId="51" xfId="6" applyNumberFormat="1" applyFont="1" applyBorder="1" applyAlignment="1">
      <alignment horizontal="center" vertical="center" wrapText="1"/>
    </xf>
    <xf numFmtId="3" fontId="69" fillId="0" borderId="52" xfId="6" applyNumberFormat="1" applyFont="1" applyBorder="1" applyAlignment="1">
      <alignment horizontal="center" wrapText="1"/>
    </xf>
    <xf numFmtId="3" fontId="69" fillId="0" borderId="51" xfId="6" applyNumberFormat="1" applyFont="1" applyBorder="1" applyAlignment="1">
      <alignment horizontal="center" wrapText="1"/>
    </xf>
    <xf numFmtId="0" fontId="20" fillId="0" borderId="0" xfId="6" applyNumberFormat="1" applyFont="1" applyBorder="1" applyAlignment="1">
      <alignment horizontal="center"/>
    </xf>
    <xf numFmtId="0" fontId="20" fillId="0" borderId="13" xfId="6" applyNumberFormat="1" applyFont="1" applyBorder="1"/>
    <xf numFmtId="3" fontId="20" fillId="0" borderId="14" xfId="6" applyNumberFormat="1" applyFont="1" applyBorder="1"/>
    <xf numFmtId="0" fontId="67" fillId="0" borderId="0" xfId="6" applyNumberFormat="1" applyFont="1" applyAlignment="1"/>
    <xf numFmtId="3" fontId="48" fillId="0" borderId="0" xfId="6" applyNumberFormat="1" applyFont="1" applyBorder="1" applyAlignment="1"/>
    <xf numFmtId="3" fontId="20" fillId="0" borderId="31" xfId="6" applyNumberFormat="1" applyFont="1" applyBorder="1"/>
    <xf numFmtId="3" fontId="20" fillId="0" borderId="0" xfId="6" applyNumberFormat="1" applyFont="1" applyAlignment="1"/>
    <xf numFmtId="0" fontId="70" fillId="0" borderId="53" xfId="0" applyFont="1" applyBorder="1" applyAlignment="1">
      <alignment horizontal="justify" vertical="top" wrapText="1"/>
    </xf>
    <xf numFmtId="0" fontId="6" fillId="23" borderId="9" xfId="0" applyFont="1" applyFill="1" applyBorder="1" applyAlignment="1">
      <alignment horizontal="justify" vertical="top" wrapText="1"/>
    </xf>
    <xf numFmtId="0" fontId="6" fillId="23" borderId="9" xfId="0" applyFont="1" applyFill="1" applyBorder="1" applyAlignment="1">
      <alignment horizontal="center" vertical="center" wrapText="1"/>
    </xf>
    <xf numFmtId="0" fontId="6" fillId="23" borderId="0" xfId="0" applyFont="1" applyFill="1" applyAlignment="1">
      <alignment horizontal="center" vertical="center" wrapText="1"/>
    </xf>
    <xf numFmtId="0" fontId="6" fillId="0" borderId="54" xfId="0" applyFont="1" applyBorder="1" applyAlignment="1">
      <alignment horizontal="justify" vertical="center" wrapText="1"/>
    </xf>
    <xf numFmtId="0" fontId="11" fillId="0" borderId="0" xfId="0" applyFont="1" applyAlignment="1">
      <alignment horizontal="justify" vertical="center" wrapText="1"/>
    </xf>
    <xf numFmtId="43" fontId="11" fillId="0" borderId="0" xfId="1" applyFont="1" applyAlignment="1">
      <alignment horizontal="right" vertical="top" wrapText="1"/>
    </xf>
    <xf numFmtId="0" fontId="11" fillId="0" borderId="53" xfId="0" applyFont="1" applyBorder="1" applyAlignment="1">
      <alignment horizontal="justify" vertical="center" wrapText="1"/>
    </xf>
    <xf numFmtId="43" fontId="11" fillId="0" borderId="53" xfId="1" applyFont="1" applyBorder="1" applyAlignment="1">
      <alignment horizontal="right" vertical="top" wrapText="1"/>
    </xf>
    <xf numFmtId="0" fontId="6" fillId="0" borderId="53" xfId="0" applyFont="1" applyBorder="1" applyAlignment="1">
      <alignment horizontal="justify" vertical="center" wrapText="1"/>
    </xf>
    <xf numFmtId="43" fontId="6" fillId="0" borderId="53" xfId="1" applyFont="1" applyBorder="1" applyAlignment="1">
      <alignment horizontal="right" vertical="top" wrapText="1"/>
    </xf>
    <xf numFmtId="0" fontId="6" fillId="0" borderId="54" xfId="0" applyFont="1" applyBorder="1" applyAlignment="1">
      <alignment horizontal="justify" vertical="top" wrapText="1"/>
    </xf>
    <xf numFmtId="0" fontId="6" fillId="0" borderId="0" xfId="0" applyFont="1" applyAlignment="1">
      <alignment horizontal="justify" vertical="center" wrapText="1"/>
    </xf>
    <xf numFmtId="0" fontId="71" fillId="0" borderId="0" xfId="0" applyFont="1" applyAlignment="1">
      <alignment horizontal="justify" vertical="center" wrapText="1"/>
    </xf>
    <xf numFmtId="0" fontId="74" fillId="24" borderId="0" xfId="0" applyFont="1" applyFill="1" applyAlignment="1">
      <alignment horizontal="right" vertical="top" wrapText="1"/>
    </xf>
    <xf numFmtId="0" fontId="11" fillId="0" borderId="0" xfId="0" applyFont="1" applyAlignment="1">
      <alignment horizontal="right" vertical="top" wrapText="1"/>
    </xf>
    <xf numFmtId="0" fontId="6" fillId="24" borderId="0" xfId="0" applyFont="1" applyFill="1" applyAlignment="1">
      <alignment horizontal="right" vertical="top" wrapText="1"/>
    </xf>
    <xf numFmtId="0" fontId="75" fillId="0" borderId="0" xfId="0" applyFont="1" applyAlignment="1">
      <alignment horizontal="justify" vertical="center" wrapText="1"/>
    </xf>
    <xf numFmtId="0" fontId="6" fillId="24" borderId="53" xfId="0" applyFont="1" applyFill="1" applyBorder="1" applyAlignment="1">
      <alignment horizontal="right" vertical="top" wrapText="1"/>
    </xf>
    <xf numFmtId="0" fontId="71" fillId="0" borderId="53" xfId="0" applyFont="1" applyBorder="1" applyAlignment="1">
      <alignment horizontal="justify" vertical="center" wrapText="1"/>
    </xf>
    <xf numFmtId="0" fontId="6" fillId="24" borderId="3" xfId="0" applyFont="1" applyFill="1" applyBorder="1" applyAlignment="1">
      <alignment horizontal="right" vertical="center" wrapText="1"/>
    </xf>
    <xf numFmtId="0" fontId="11" fillId="24" borderId="3" xfId="0" applyFont="1" applyFill="1" applyBorder="1" applyAlignment="1">
      <alignment horizontal="right" vertical="center" wrapText="1"/>
    </xf>
    <xf numFmtId="0" fontId="7" fillId="0" borderId="53" xfId="0" applyFont="1" applyBorder="1" applyAlignment="1">
      <alignment vertical="center" wrapText="1"/>
    </xf>
    <xf numFmtId="0" fontId="78" fillId="0" borderId="53" xfId="0" applyFont="1" applyBorder="1" applyAlignment="1">
      <alignment horizontal="justify" vertical="center" wrapText="1"/>
    </xf>
    <xf numFmtId="43" fontId="79" fillId="0" borderId="53" xfId="0" applyNumberFormat="1" applyFont="1" applyBorder="1" applyAlignment="1">
      <alignment horizontal="right" vertical="center" wrapText="1"/>
    </xf>
    <xf numFmtId="0" fontId="11" fillId="24" borderId="0" xfId="0" applyFont="1" applyFill="1" applyAlignment="1">
      <alignment horizontal="right" vertical="top" wrapText="1"/>
    </xf>
    <xf numFmtId="43" fontId="79" fillId="0" borderId="53" xfId="1" applyFont="1" applyBorder="1" applyAlignment="1">
      <alignment horizontal="right" vertical="top" wrapText="1"/>
    </xf>
    <xf numFmtId="43" fontId="6" fillId="0" borderId="53" xfId="0" applyNumberFormat="1" applyFont="1" applyBorder="1" applyAlignment="1">
      <alignment horizontal="right" vertical="top" wrapText="1"/>
    </xf>
    <xf numFmtId="43" fontId="6" fillId="0" borderId="53" xfId="1" applyFont="1" applyBorder="1" applyAlignment="1">
      <alignment horizontal="justify" vertical="top" wrapText="1"/>
    </xf>
    <xf numFmtId="43" fontId="11" fillId="0" borderId="53" xfId="1" applyFont="1" applyBorder="1" applyAlignment="1">
      <alignment horizontal="justify" vertical="top" wrapText="1"/>
    </xf>
    <xf numFmtId="0" fontId="11" fillId="0" borderId="54" xfId="0" applyFont="1" applyBorder="1" applyAlignment="1">
      <alignment horizontal="justify" vertical="top" wrapText="1"/>
    </xf>
    <xf numFmtId="0" fontId="6" fillId="0" borderId="53" xfId="0" applyFont="1" applyBorder="1" applyAlignment="1">
      <alignment horizontal="justify" vertical="top" wrapText="1"/>
    </xf>
    <xf numFmtId="0" fontId="11" fillId="0" borderId="53" xfId="0" applyFont="1" applyBorder="1" applyAlignment="1">
      <alignment horizontal="justify" vertical="top" wrapText="1"/>
    </xf>
    <xf numFmtId="43" fontId="6" fillId="0" borderId="0" xfId="0" applyNumberFormat="1" applyFont="1" applyAlignment="1">
      <alignment horizontal="right" vertical="top" wrapText="1"/>
    </xf>
    <xf numFmtId="10" fontId="11" fillId="0" borderId="0" xfId="0" applyNumberFormat="1" applyFont="1" applyAlignment="1">
      <alignment horizontal="right" vertical="top" wrapText="1"/>
    </xf>
    <xf numFmtId="43" fontId="6" fillId="0" borderId="0" xfId="1" applyFont="1" applyAlignment="1">
      <alignment horizontal="right" vertical="top" wrapText="1"/>
    </xf>
    <xf numFmtId="10" fontId="11" fillId="0" borderId="53" xfId="0" applyNumberFormat="1" applyFont="1" applyBorder="1" applyAlignment="1">
      <alignment horizontal="right" vertical="top" wrapText="1"/>
    </xf>
    <xf numFmtId="0" fontId="2" fillId="0" borderId="0" xfId="0" applyFont="1" applyAlignment="1">
      <alignment horizontal="center"/>
    </xf>
    <xf numFmtId="164" fontId="0" fillId="0" borderId="0" xfId="1" applyNumberFormat="1" applyFont="1"/>
    <xf numFmtId="0" fontId="2" fillId="0" borderId="13" xfId="0" applyFont="1" applyFill="1" applyBorder="1" applyAlignment="1">
      <alignment vertical="center"/>
    </xf>
    <xf numFmtId="164" fontId="2" fillId="0" borderId="13" xfId="1" applyNumberFormat="1" applyFont="1" applyFill="1" applyBorder="1" applyAlignment="1">
      <alignment horizontal="center" vertical="center" wrapText="1"/>
    </xf>
    <xf numFmtId="0" fontId="2" fillId="0" borderId="15" xfId="0" applyFont="1" applyFill="1" applyBorder="1" applyAlignment="1">
      <alignment horizontal="left"/>
    </xf>
    <xf numFmtId="164" fontId="0" fillId="0" borderId="13" xfId="1" applyNumberFormat="1" applyFont="1" applyFill="1" applyBorder="1"/>
    <xf numFmtId="168" fontId="0" fillId="0" borderId="13" xfId="2" applyNumberFormat="1" applyFont="1" applyFill="1" applyBorder="1"/>
    <xf numFmtId="168" fontId="0" fillId="0" borderId="14" xfId="2" applyNumberFormat="1" applyFont="1" applyFill="1" applyBorder="1"/>
    <xf numFmtId="0" fontId="2" fillId="0" borderId="0" xfId="0" applyFont="1"/>
    <xf numFmtId="0" fontId="2" fillId="0" borderId="55" xfId="0" applyFont="1" applyFill="1" applyBorder="1" applyAlignment="1">
      <alignment horizontal="left"/>
    </xf>
    <xf numFmtId="164" fontId="2" fillId="0" borderId="56" xfId="1" applyNumberFormat="1" applyFont="1" applyFill="1" applyBorder="1"/>
    <xf numFmtId="9" fontId="0" fillId="0" borderId="56" xfId="2" applyFont="1" applyFill="1" applyBorder="1"/>
    <xf numFmtId="9" fontId="0" fillId="0" borderId="57" xfId="2" applyFont="1" applyFill="1" applyBorder="1"/>
    <xf numFmtId="0" fontId="2" fillId="0" borderId="0" xfId="0" applyFont="1" applyFill="1" applyBorder="1" applyAlignment="1">
      <alignment horizontal="left"/>
    </xf>
    <xf numFmtId="164" fontId="2" fillId="0" borderId="0" xfId="1" applyNumberFormat="1" applyFont="1" applyFill="1" applyBorder="1"/>
    <xf numFmtId="9" fontId="0" fillId="0" borderId="0" xfId="2" applyFont="1" applyFill="1" applyBorder="1"/>
    <xf numFmtId="0" fontId="2" fillId="0" borderId="58" xfId="0" applyFont="1" applyFill="1" applyBorder="1" applyAlignment="1">
      <alignment vertical="center"/>
    </xf>
    <xf numFmtId="164" fontId="2" fillId="0" borderId="58" xfId="1" applyNumberFormat="1" applyFont="1" applyFill="1" applyBorder="1" applyAlignment="1">
      <alignment horizontal="center" vertical="center" wrapText="1"/>
    </xf>
    <xf numFmtId="0" fontId="2" fillId="0" borderId="25" xfId="0" applyFont="1" applyFill="1" applyBorder="1" applyAlignment="1">
      <alignment horizontal="left"/>
    </xf>
    <xf numFmtId="164" fontId="0" fillId="0" borderId="26" xfId="1" applyNumberFormat="1" applyFont="1" applyFill="1" applyBorder="1"/>
    <xf numFmtId="168" fontId="0" fillId="0" borderId="26" xfId="2" applyNumberFormat="1" applyFont="1" applyFill="1" applyBorder="1"/>
    <xf numFmtId="0" fontId="2" fillId="0" borderId="59" xfId="0" applyFont="1" applyFill="1" applyBorder="1" applyAlignment="1">
      <alignment horizontal="left"/>
    </xf>
    <xf numFmtId="164" fontId="0" fillId="0" borderId="58" xfId="1" applyNumberFormat="1" applyFont="1" applyFill="1" applyBorder="1"/>
    <xf numFmtId="168" fontId="0" fillId="0" borderId="58" xfId="2" applyNumberFormat="1" applyFont="1" applyFill="1" applyBorder="1"/>
    <xf numFmtId="9" fontId="2" fillId="0" borderId="56" xfId="2" applyFont="1" applyFill="1" applyBorder="1"/>
    <xf numFmtId="164" fontId="0" fillId="25" borderId="0" xfId="1" applyNumberFormat="1" applyFont="1" applyFill="1"/>
    <xf numFmtId="0" fontId="0" fillId="0" borderId="58" xfId="0" applyBorder="1"/>
    <xf numFmtId="0" fontId="0" fillId="0" borderId="58" xfId="0" quotePrefix="1" applyBorder="1" applyAlignment="1">
      <alignment horizontal="right"/>
    </xf>
    <xf numFmtId="0" fontId="0" fillId="0" borderId="58" xfId="0" applyBorder="1" applyAlignment="1">
      <alignment horizontal="right"/>
    </xf>
    <xf numFmtId="0" fontId="0" fillId="0" borderId="58" xfId="0" applyBorder="1" applyAlignment="1"/>
  </cellXfs>
  <cellStyles count="9">
    <cellStyle name="Comma" xfId="1" builtinId="3"/>
    <cellStyle name="Comma 2 5" xfId="4"/>
    <cellStyle name="Comma 6" xfId="7"/>
    <cellStyle name="Normal" xfId="0" builtinId="0"/>
    <cellStyle name="Normal 14 2 3" xfId="6"/>
    <cellStyle name="Normal 17" xfId="3"/>
    <cellStyle name="Normal 2" xfId="8"/>
    <cellStyle name="Normal 2 7"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mfb02\Budget%20Director\BUDGET\Budget%20Estimates%202013-16\FOR%20CABINET\Draft%20Budget%20Estimates%209%202013.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aft%20Estimates%202016-19%20L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UNIT/Estimates%202013-17/Draft%20Estimates%20201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rent"/>
      <sheetName val="Scales"/>
      <sheetName val="Establishment"/>
      <sheetName val="Nomrol"/>
      <sheetName val="Appr Schdl"/>
      <sheetName val="Annex 1"/>
      <sheetName val="Virements"/>
      <sheetName val="PSQuerySave1"/>
      <sheetName val="Chart of Accounts"/>
      <sheetName val="Functional Clas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s"/>
      <sheetName val="Ceilings"/>
      <sheetName val="Summary"/>
      <sheetName val="05"/>
      <sheetName val="07"/>
      <sheetName val="08"/>
      <sheetName val="09"/>
      <sheetName val="10"/>
      <sheetName val="11"/>
      <sheetName val="12"/>
      <sheetName val="13"/>
      <sheetName val="15"/>
      <sheetName val="17"/>
      <sheetName val="20"/>
      <sheetName val="30"/>
      <sheetName val="35"/>
      <sheetName val="40"/>
      <sheetName val="45"/>
      <sheetName val="Scales"/>
      <sheetName val="Chart of Accounts"/>
      <sheetName val="Establishment"/>
      <sheetName val="Nominal Roll"/>
      <sheetName val="Sheet4"/>
      <sheetName val="Salary Scales"/>
      <sheetName val="Appr Schdl"/>
      <sheetName val="Annex 1"/>
      <sheetName val="MTFF"/>
      <sheetName val="COFOG"/>
      <sheetName val="Pre-Budget Scorecard"/>
      <sheetName val="NS"/>
      <sheetName val="Virements"/>
      <sheetName val="Functional Class"/>
      <sheetName val="Sheet1"/>
      <sheetName val="Sheet3"/>
      <sheetName val="CO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1"/>
      <sheetName val="05"/>
      <sheetName val="07"/>
      <sheetName val="08"/>
      <sheetName val="09"/>
      <sheetName val="10"/>
      <sheetName val="12"/>
      <sheetName val="13"/>
      <sheetName val="15"/>
      <sheetName val="17"/>
      <sheetName val="20"/>
      <sheetName val="30"/>
      <sheetName val="35"/>
      <sheetName val="40"/>
      <sheetName val="45"/>
      <sheetName val="Scales"/>
      <sheetName val="Establishment"/>
      <sheetName val="Nomrol"/>
      <sheetName val="Appr Schdl"/>
      <sheetName val="Annex 1"/>
      <sheetName val="Virements"/>
      <sheetName val="Chart of Accounts"/>
      <sheetName val="Functional Class"/>
      <sheetName val="Sheet1"/>
      <sheetName val="Pre-Budget Scorecard"/>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0">
          <cell r="B70" t="str">
            <v>SCALE to be Implemented</v>
          </cell>
          <cell r="C70">
            <v>0</v>
          </cell>
          <cell r="D70">
            <v>0</v>
          </cell>
        </row>
        <row r="71">
          <cell r="B71" t="str">
            <v>For 2011/2012 Est</v>
          </cell>
          <cell r="C71">
            <v>0</v>
          </cell>
          <cell r="D71">
            <v>0</v>
          </cell>
        </row>
        <row r="72">
          <cell r="B72">
            <v>0</v>
          </cell>
          <cell r="C72">
            <v>0</v>
          </cell>
          <cell r="D72">
            <v>0</v>
          </cell>
        </row>
        <row r="73">
          <cell r="B73" t="str">
            <v>Apr R1</v>
          </cell>
          <cell r="C73">
            <v>3</v>
          </cell>
          <cell r="D73">
            <v>93120</v>
          </cell>
        </row>
        <row r="74">
          <cell r="B74" t="str">
            <v>Apr R10</v>
          </cell>
          <cell r="C74">
            <v>12</v>
          </cell>
          <cell r="D74">
            <v>68472</v>
          </cell>
        </row>
        <row r="75">
          <cell r="B75" t="str">
            <v>Apr R11</v>
          </cell>
          <cell r="C75">
            <v>13</v>
          </cell>
          <cell r="D75">
            <v>66852</v>
          </cell>
        </row>
        <row r="76">
          <cell r="B76" t="str">
            <v>Apr R12</v>
          </cell>
          <cell r="C76">
            <v>14</v>
          </cell>
          <cell r="D76">
            <v>65232</v>
          </cell>
        </row>
        <row r="77">
          <cell r="B77" t="str">
            <v>Apr R13</v>
          </cell>
          <cell r="C77">
            <v>15</v>
          </cell>
          <cell r="D77">
            <v>63648</v>
          </cell>
        </row>
        <row r="78">
          <cell r="B78" t="str">
            <v>Apr R14</v>
          </cell>
          <cell r="C78">
            <v>16</v>
          </cell>
          <cell r="D78">
            <v>62064</v>
          </cell>
        </row>
        <row r="79">
          <cell r="B79" t="str">
            <v>Apr R15</v>
          </cell>
          <cell r="C79">
            <v>17</v>
          </cell>
          <cell r="D79">
            <v>60480</v>
          </cell>
        </row>
        <row r="80">
          <cell r="B80" t="str">
            <v>Apr R16</v>
          </cell>
          <cell r="C80">
            <v>18</v>
          </cell>
          <cell r="D80">
            <v>58896</v>
          </cell>
        </row>
        <row r="81">
          <cell r="B81" t="str">
            <v>Apr R17</v>
          </cell>
          <cell r="C81">
            <v>19</v>
          </cell>
          <cell r="D81">
            <v>57312</v>
          </cell>
        </row>
        <row r="82">
          <cell r="B82" t="str">
            <v>Apr R18</v>
          </cell>
          <cell r="C82">
            <v>20</v>
          </cell>
          <cell r="D82">
            <v>55728</v>
          </cell>
        </row>
        <row r="83">
          <cell r="B83" t="str">
            <v>Apr R19</v>
          </cell>
          <cell r="C83">
            <v>21</v>
          </cell>
          <cell r="D83">
            <v>54144</v>
          </cell>
        </row>
        <row r="84">
          <cell r="B84" t="str">
            <v>Apr R2</v>
          </cell>
          <cell r="C84">
            <v>4</v>
          </cell>
          <cell r="D84">
            <v>84600</v>
          </cell>
        </row>
        <row r="85">
          <cell r="B85" t="str">
            <v>Apr R20</v>
          </cell>
          <cell r="C85">
            <v>22</v>
          </cell>
          <cell r="D85">
            <v>52560</v>
          </cell>
        </row>
        <row r="86">
          <cell r="B86" t="str">
            <v>Apr R21</v>
          </cell>
          <cell r="C86">
            <v>23</v>
          </cell>
          <cell r="D86">
            <v>50976</v>
          </cell>
        </row>
        <row r="87">
          <cell r="B87" t="str">
            <v>Apr R22</v>
          </cell>
          <cell r="C87">
            <v>24</v>
          </cell>
          <cell r="D87">
            <v>49392</v>
          </cell>
        </row>
        <row r="88">
          <cell r="B88" t="str">
            <v>Apr R23</v>
          </cell>
          <cell r="C88">
            <v>25</v>
          </cell>
          <cell r="D88">
            <v>47808</v>
          </cell>
        </row>
        <row r="89">
          <cell r="B89" t="str">
            <v>Apr R24</v>
          </cell>
          <cell r="C89">
            <v>26</v>
          </cell>
          <cell r="D89">
            <v>46296</v>
          </cell>
        </row>
        <row r="90">
          <cell r="B90" t="str">
            <v>Apr R25</v>
          </cell>
          <cell r="C90">
            <v>27</v>
          </cell>
          <cell r="D90">
            <v>44784</v>
          </cell>
        </row>
        <row r="91">
          <cell r="B91" t="str">
            <v>Apr R26</v>
          </cell>
          <cell r="C91">
            <v>28</v>
          </cell>
          <cell r="D91">
            <v>43272</v>
          </cell>
        </row>
        <row r="92">
          <cell r="B92" t="str">
            <v>Apr R27</v>
          </cell>
          <cell r="C92">
            <v>29</v>
          </cell>
          <cell r="D92">
            <v>41760</v>
          </cell>
        </row>
        <row r="93">
          <cell r="B93" t="str">
            <v>Apr R28</v>
          </cell>
          <cell r="C93">
            <v>30</v>
          </cell>
          <cell r="D93">
            <v>40248</v>
          </cell>
        </row>
        <row r="94">
          <cell r="B94" t="str">
            <v>Apr R29</v>
          </cell>
          <cell r="C94">
            <v>31</v>
          </cell>
          <cell r="D94">
            <v>38736</v>
          </cell>
        </row>
        <row r="95">
          <cell r="B95" t="str">
            <v>Apr R3</v>
          </cell>
          <cell r="C95">
            <v>5</v>
          </cell>
          <cell r="D95">
            <v>82800</v>
          </cell>
        </row>
        <row r="96">
          <cell r="B96" t="str">
            <v>Apr R30</v>
          </cell>
          <cell r="C96">
            <v>32</v>
          </cell>
          <cell r="D96">
            <v>37428</v>
          </cell>
        </row>
        <row r="97">
          <cell r="B97" t="str">
            <v>Apr R31</v>
          </cell>
          <cell r="C97">
            <v>33</v>
          </cell>
          <cell r="D97">
            <v>36120</v>
          </cell>
        </row>
        <row r="98">
          <cell r="B98" t="str">
            <v>Apr R32</v>
          </cell>
          <cell r="C98">
            <v>34</v>
          </cell>
          <cell r="D98">
            <v>34812</v>
          </cell>
        </row>
        <row r="99">
          <cell r="B99" t="str">
            <v>Apr R33</v>
          </cell>
          <cell r="C99">
            <v>35</v>
          </cell>
          <cell r="D99">
            <v>33504</v>
          </cell>
        </row>
        <row r="100">
          <cell r="B100" t="str">
            <v>Apr R34</v>
          </cell>
          <cell r="C100">
            <v>36</v>
          </cell>
          <cell r="D100">
            <v>32196</v>
          </cell>
        </row>
        <row r="101">
          <cell r="B101" t="str">
            <v>Apr R35</v>
          </cell>
          <cell r="C101">
            <v>37</v>
          </cell>
          <cell r="D101">
            <v>30996</v>
          </cell>
        </row>
        <row r="102">
          <cell r="B102" t="str">
            <v>Apr R36</v>
          </cell>
          <cell r="C102">
            <v>38</v>
          </cell>
          <cell r="D102">
            <v>29796</v>
          </cell>
        </row>
        <row r="103">
          <cell r="B103" t="str">
            <v>Apr R37</v>
          </cell>
          <cell r="C103">
            <v>39</v>
          </cell>
          <cell r="D103">
            <v>28596</v>
          </cell>
        </row>
        <row r="104">
          <cell r="B104" t="str">
            <v>Apr R38</v>
          </cell>
          <cell r="C104">
            <v>40</v>
          </cell>
          <cell r="D104">
            <v>27396</v>
          </cell>
        </row>
        <row r="105">
          <cell r="B105" t="str">
            <v>Apr R39</v>
          </cell>
          <cell r="C105">
            <v>41</v>
          </cell>
          <cell r="D105">
            <v>26196</v>
          </cell>
        </row>
        <row r="106">
          <cell r="B106" t="str">
            <v>Apr R4</v>
          </cell>
          <cell r="C106">
            <v>6</v>
          </cell>
          <cell r="D106">
            <v>79920</v>
          </cell>
        </row>
        <row r="107">
          <cell r="B107" t="str">
            <v>Apr R40</v>
          </cell>
          <cell r="C107">
            <v>42</v>
          </cell>
          <cell r="D107">
            <v>24996</v>
          </cell>
        </row>
        <row r="108">
          <cell r="B108" t="str">
            <v>Apr R41</v>
          </cell>
          <cell r="C108">
            <v>43</v>
          </cell>
          <cell r="D108">
            <v>24288</v>
          </cell>
        </row>
        <row r="109">
          <cell r="B109" t="str">
            <v>Apr R42</v>
          </cell>
          <cell r="C109">
            <v>44</v>
          </cell>
          <cell r="D109">
            <v>23580</v>
          </cell>
        </row>
        <row r="110">
          <cell r="B110" t="str">
            <v>Apr R43</v>
          </cell>
          <cell r="C110">
            <v>45</v>
          </cell>
          <cell r="D110">
            <v>22872</v>
          </cell>
        </row>
        <row r="111">
          <cell r="B111" t="str">
            <v>Apr R44</v>
          </cell>
          <cell r="C111">
            <v>46</v>
          </cell>
          <cell r="D111">
            <v>22164</v>
          </cell>
        </row>
        <row r="112">
          <cell r="B112" t="str">
            <v>Apr R45</v>
          </cell>
          <cell r="C112">
            <v>47</v>
          </cell>
          <cell r="D112">
            <v>21456</v>
          </cell>
        </row>
        <row r="113">
          <cell r="B113" t="str">
            <v>Apr R46</v>
          </cell>
          <cell r="C113">
            <v>48</v>
          </cell>
          <cell r="D113">
            <v>20748</v>
          </cell>
        </row>
        <row r="114">
          <cell r="B114" t="str">
            <v>Apr R47</v>
          </cell>
          <cell r="C114">
            <v>49</v>
          </cell>
          <cell r="D114">
            <v>20304</v>
          </cell>
        </row>
        <row r="115">
          <cell r="B115" t="str">
            <v>Apr R48</v>
          </cell>
          <cell r="C115">
            <v>50</v>
          </cell>
          <cell r="D115">
            <v>19860</v>
          </cell>
        </row>
        <row r="116">
          <cell r="B116" t="str">
            <v>Apr R49</v>
          </cell>
          <cell r="C116">
            <v>51</v>
          </cell>
          <cell r="D116">
            <v>19416</v>
          </cell>
        </row>
        <row r="117">
          <cell r="B117" t="str">
            <v>Apr R5</v>
          </cell>
          <cell r="C117">
            <v>7</v>
          </cell>
          <cell r="D117">
            <v>78000</v>
          </cell>
        </row>
        <row r="118">
          <cell r="B118" t="str">
            <v>Apr R50</v>
          </cell>
          <cell r="C118">
            <v>52</v>
          </cell>
          <cell r="D118">
            <v>18972</v>
          </cell>
        </row>
        <row r="119">
          <cell r="B119" t="str">
            <v>Apr R51</v>
          </cell>
          <cell r="C119">
            <v>53</v>
          </cell>
          <cell r="D119">
            <v>18528</v>
          </cell>
        </row>
        <row r="120">
          <cell r="B120" t="str">
            <v>Apr R6</v>
          </cell>
          <cell r="C120">
            <v>8</v>
          </cell>
          <cell r="D120">
            <v>75000</v>
          </cell>
        </row>
        <row r="121">
          <cell r="B121" t="str">
            <v>Apr R7</v>
          </cell>
          <cell r="C121">
            <v>9</v>
          </cell>
          <cell r="D121">
            <v>73140</v>
          </cell>
        </row>
        <row r="122">
          <cell r="B122" t="str">
            <v>Apr R8</v>
          </cell>
          <cell r="C122">
            <v>10</v>
          </cell>
          <cell r="D122">
            <v>71400</v>
          </cell>
        </row>
        <row r="123">
          <cell r="B123" t="str">
            <v>Apr R9</v>
          </cell>
          <cell r="C123">
            <v>11</v>
          </cell>
          <cell r="D123">
            <v>70092</v>
          </cell>
        </row>
        <row r="124">
          <cell r="B124" t="str">
            <v>CM</v>
          </cell>
          <cell r="C124">
            <v>1</v>
          </cell>
          <cell r="D124">
            <v>101112</v>
          </cell>
        </row>
        <row r="125">
          <cell r="B125" t="str">
            <v>Fix R1</v>
          </cell>
          <cell r="C125">
            <v>54</v>
          </cell>
          <cell r="D125">
            <v>93120</v>
          </cell>
        </row>
        <row r="126">
          <cell r="B126" t="str">
            <v>Fix R10</v>
          </cell>
          <cell r="C126">
            <v>63</v>
          </cell>
          <cell r="D126">
            <v>68472</v>
          </cell>
        </row>
        <row r="127">
          <cell r="B127" t="str">
            <v>Fix R11</v>
          </cell>
          <cell r="C127">
            <v>64</v>
          </cell>
          <cell r="D127">
            <v>66852</v>
          </cell>
        </row>
        <row r="128">
          <cell r="B128" t="str">
            <v>Fix R12</v>
          </cell>
          <cell r="C128">
            <v>65</v>
          </cell>
          <cell r="D128">
            <v>65232</v>
          </cell>
        </row>
        <row r="129">
          <cell r="B129" t="str">
            <v>Fix R13</v>
          </cell>
          <cell r="C129">
            <v>66</v>
          </cell>
          <cell r="D129">
            <v>63648</v>
          </cell>
        </row>
        <row r="130">
          <cell r="B130" t="str">
            <v>Fix R14</v>
          </cell>
          <cell r="C130">
            <v>67</v>
          </cell>
          <cell r="D130">
            <v>62064</v>
          </cell>
        </row>
        <row r="131">
          <cell r="B131" t="str">
            <v>Fix R15</v>
          </cell>
          <cell r="C131">
            <v>68</v>
          </cell>
          <cell r="D131">
            <v>60480</v>
          </cell>
        </row>
        <row r="132">
          <cell r="B132" t="str">
            <v>Fix R16</v>
          </cell>
          <cell r="C132">
            <v>69</v>
          </cell>
          <cell r="D132">
            <v>58896</v>
          </cell>
        </row>
        <row r="133">
          <cell r="B133" t="str">
            <v>Fix R17</v>
          </cell>
          <cell r="C133">
            <v>70</v>
          </cell>
          <cell r="D133">
            <v>57312</v>
          </cell>
        </row>
        <row r="134">
          <cell r="B134" t="str">
            <v>Fix R18</v>
          </cell>
          <cell r="C134">
            <v>71</v>
          </cell>
          <cell r="D134">
            <v>55728</v>
          </cell>
        </row>
        <row r="135">
          <cell r="B135" t="str">
            <v>Fix R19</v>
          </cell>
          <cell r="C135">
            <v>72</v>
          </cell>
          <cell r="D135">
            <v>54144</v>
          </cell>
        </row>
        <row r="136">
          <cell r="B136" t="str">
            <v>Fix R2</v>
          </cell>
          <cell r="C136">
            <v>55</v>
          </cell>
          <cell r="D136">
            <v>84600</v>
          </cell>
        </row>
        <row r="137">
          <cell r="B137" t="str">
            <v>Fix R20</v>
          </cell>
          <cell r="C137">
            <v>73</v>
          </cell>
          <cell r="D137">
            <v>52560</v>
          </cell>
        </row>
        <row r="138">
          <cell r="B138" t="str">
            <v>Fix R21</v>
          </cell>
          <cell r="C138">
            <v>74</v>
          </cell>
          <cell r="D138">
            <v>50976</v>
          </cell>
        </row>
        <row r="139">
          <cell r="B139" t="str">
            <v>Fix R22</v>
          </cell>
          <cell r="C139">
            <v>75</v>
          </cell>
          <cell r="D139">
            <v>49392</v>
          </cell>
        </row>
        <row r="140">
          <cell r="B140" t="str">
            <v>Fix R23</v>
          </cell>
          <cell r="C140">
            <v>76</v>
          </cell>
          <cell r="D140">
            <v>47808</v>
          </cell>
        </row>
        <row r="141">
          <cell r="B141" t="str">
            <v>Fix R24</v>
          </cell>
          <cell r="C141">
            <v>77</v>
          </cell>
          <cell r="D141">
            <v>46296</v>
          </cell>
        </row>
        <row r="142">
          <cell r="B142" t="str">
            <v>Fix R25</v>
          </cell>
          <cell r="C142">
            <v>78</v>
          </cell>
          <cell r="D142">
            <v>44784</v>
          </cell>
        </row>
        <row r="143">
          <cell r="B143" t="str">
            <v>Fix R26</v>
          </cell>
          <cell r="C143">
            <v>79</v>
          </cell>
          <cell r="D143">
            <v>43272</v>
          </cell>
        </row>
        <row r="144">
          <cell r="B144" t="str">
            <v>Fix R27</v>
          </cell>
          <cell r="C144">
            <v>80</v>
          </cell>
          <cell r="D144">
            <v>41760</v>
          </cell>
        </row>
        <row r="145">
          <cell r="B145" t="str">
            <v>Fix R28</v>
          </cell>
          <cell r="C145">
            <v>81</v>
          </cell>
          <cell r="D145">
            <v>40248</v>
          </cell>
        </row>
        <row r="146">
          <cell r="B146" t="str">
            <v>Fix R29</v>
          </cell>
          <cell r="C146">
            <v>82</v>
          </cell>
          <cell r="D146">
            <v>38736</v>
          </cell>
        </row>
        <row r="147">
          <cell r="B147" t="str">
            <v>Fix R3</v>
          </cell>
          <cell r="C147">
            <v>56</v>
          </cell>
          <cell r="D147">
            <v>82800</v>
          </cell>
        </row>
        <row r="148">
          <cell r="B148" t="str">
            <v>Fix R30</v>
          </cell>
          <cell r="C148">
            <v>83</v>
          </cell>
          <cell r="D148">
            <v>37428</v>
          </cell>
        </row>
        <row r="149">
          <cell r="B149" t="str">
            <v>Fix R31</v>
          </cell>
          <cell r="C149">
            <v>84</v>
          </cell>
          <cell r="D149">
            <v>36120</v>
          </cell>
        </row>
        <row r="150">
          <cell r="B150" t="str">
            <v>Fix R32</v>
          </cell>
          <cell r="C150">
            <v>85</v>
          </cell>
          <cell r="D150">
            <v>34812</v>
          </cell>
        </row>
        <row r="151">
          <cell r="B151" t="str">
            <v>Fix R33</v>
          </cell>
          <cell r="C151">
            <v>86</v>
          </cell>
          <cell r="D151">
            <v>33504</v>
          </cell>
        </row>
        <row r="152">
          <cell r="B152" t="str">
            <v>Fix R34</v>
          </cell>
          <cell r="C152">
            <v>87</v>
          </cell>
          <cell r="D152">
            <v>32196</v>
          </cell>
        </row>
        <row r="153">
          <cell r="B153" t="str">
            <v>Fix R35</v>
          </cell>
          <cell r="C153">
            <v>88</v>
          </cell>
          <cell r="D153">
            <v>30996</v>
          </cell>
        </row>
        <row r="154">
          <cell r="B154" t="str">
            <v>Fix R36</v>
          </cell>
          <cell r="C154">
            <v>89</v>
          </cell>
          <cell r="D154">
            <v>29796</v>
          </cell>
        </row>
        <row r="155">
          <cell r="B155" t="str">
            <v>Fix R37</v>
          </cell>
          <cell r="C155">
            <v>90</v>
          </cell>
          <cell r="D155">
            <v>28596</v>
          </cell>
        </row>
        <row r="156">
          <cell r="B156" t="str">
            <v>Fix R38</v>
          </cell>
          <cell r="C156">
            <v>91</v>
          </cell>
          <cell r="D156">
            <v>27396</v>
          </cell>
        </row>
        <row r="157">
          <cell r="B157" t="str">
            <v>Fix R39</v>
          </cell>
          <cell r="C157">
            <v>92</v>
          </cell>
          <cell r="D157">
            <v>26196</v>
          </cell>
        </row>
        <row r="158">
          <cell r="B158" t="str">
            <v>Fix R4</v>
          </cell>
          <cell r="C158">
            <v>57</v>
          </cell>
          <cell r="D158">
            <v>79920</v>
          </cell>
        </row>
        <row r="159">
          <cell r="B159" t="str">
            <v>Fix R40</v>
          </cell>
          <cell r="C159">
            <v>93</v>
          </cell>
          <cell r="D159">
            <v>24996</v>
          </cell>
        </row>
        <row r="160">
          <cell r="B160" t="str">
            <v>Fix R41</v>
          </cell>
          <cell r="C160">
            <v>94</v>
          </cell>
          <cell r="D160">
            <v>24288</v>
          </cell>
        </row>
        <row r="161">
          <cell r="B161" t="str">
            <v>Fix R42</v>
          </cell>
          <cell r="C161">
            <v>95</v>
          </cell>
          <cell r="D161">
            <v>23580</v>
          </cell>
        </row>
        <row r="162">
          <cell r="B162" t="str">
            <v>Fix R43</v>
          </cell>
          <cell r="C162">
            <v>96</v>
          </cell>
          <cell r="D162">
            <v>22872</v>
          </cell>
        </row>
        <row r="163">
          <cell r="B163" t="str">
            <v>Fix R44</v>
          </cell>
          <cell r="C163">
            <v>97</v>
          </cell>
          <cell r="D163">
            <v>22164</v>
          </cell>
        </row>
        <row r="164">
          <cell r="B164" t="str">
            <v>Fix R45</v>
          </cell>
          <cell r="C164">
            <v>98</v>
          </cell>
          <cell r="D164">
            <v>21456</v>
          </cell>
        </row>
        <row r="165">
          <cell r="B165" t="str">
            <v>Fix R46</v>
          </cell>
          <cell r="C165">
            <v>99</v>
          </cell>
          <cell r="D165">
            <v>20748</v>
          </cell>
        </row>
        <row r="166">
          <cell r="B166" t="str">
            <v>Fix R47</v>
          </cell>
          <cell r="C166">
            <v>100</v>
          </cell>
          <cell r="D166">
            <v>20304</v>
          </cell>
        </row>
        <row r="167">
          <cell r="B167" t="str">
            <v>Fix R48</v>
          </cell>
          <cell r="C167">
            <v>101</v>
          </cell>
          <cell r="D167">
            <v>19860</v>
          </cell>
        </row>
        <row r="168">
          <cell r="B168" t="str">
            <v>Fix R49</v>
          </cell>
          <cell r="C168">
            <v>102</v>
          </cell>
          <cell r="D168">
            <v>19416</v>
          </cell>
        </row>
        <row r="169">
          <cell r="B169" t="str">
            <v>Fix R5</v>
          </cell>
          <cell r="C169">
            <v>58</v>
          </cell>
          <cell r="D169">
            <v>78000</v>
          </cell>
        </row>
        <row r="170">
          <cell r="B170" t="str">
            <v>Fix R50</v>
          </cell>
          <cell r="C170">
            <v>103</v>
          </cell>
          <cell r="D170">
            <v>18972</v>
          </cell>
        </row>
        <row r="171">
          <cell r="B171" t="str">
            <v>Fix R51</v>
          </cell>
          <cell r="C171">
            <v>104</v>
          </cell>
          <cell r="D171">
            <v>18528</v>
          </cell>
        </row>
        <row r="172">
          <cell r="B172" t="str">
            <v>Fix R6</v>
          </cell>
          <cell r="C172">
            <v>59</v>
          </cell>
          <cell r="D172">
            <v>75000</v>
          </cell>
        </row>
        <row r="173">
          <cell r="B173" t="str">
            <v>Fix R7</v>
          </cell>
          <cell r="C173">
            <v>60</v>
          </cell>
          <cell r="D173">
            <v>73140</v>
          </cell>
        </row>
        <row r="174">
          <cell r="B174" t="str">
            <v>Fix R8</v>
          </cell>
          <cell r="C174">
            <v>61</v>
          </cell>
          <cell r="D174">
            <v>71400</v>
          </cell>
        </row>
        <row r="175">
          <cell r="B175" t="str">
            <v>Fix R9</v>
          </cell>
          <cell r="C175">
            <v>62</v>
          </cell>
          <cell r="D175">
            <v>70092</v>
          </cell>
        </row>
        <row r="176">
          <cell r="B176" t="str">
            <v>Jan R10</v>
          </cell>
          <cell r="C176">
            <v>113</v>
          </cell>
          <cell r="D176">
            <v>68877</v>
          </cell>
        </row>
        <row r="177">
          <cell r="B177" t="str">
            <v>Jan R11</v>
          </cell>
          <cell r="C177">
            <v>114</v>
          </cell>
          <cell r="D177">
            <v>67257</v>
          </cell>
        </row>
        <row r="178">
          <cell r="B178" t="str">
            <v>Jan R12</v>
          </cell>
          <cell r="C178">
            <v>115</v>
          </cell>
          <cell r="D178">
            <v>65637</v>
          </cell>
        </row>
        <row r="179">
          <cell r="B179" t="str">
            <v>Jan R13</v>
          </cell>
          <cell r="C179">
            <v>116</v>
          </cell>
          <cell r="D179">
            <v>64044</v>
          </cell>
        </row>
        <row r="180">
          <cell r="B180" t="str">
            <v>Jan R14</v>
          </cell>
          <cell r="C180">
            <v>117</v>
          </cell>
          <cell r="D180">
            <v>62460</v>
          </cell>
        </row>
        <row r="181">
          <cell r="B181" t="str">
            <v>Jan R15</v>
          </cell>
          <cell r="C181">
            <v>118</v>
          </cell>
          <cell r="D181">
            <v>60876</v>
          </cell>
        </row>
        <row r="182">
          <cell r="B182" t="str">
            <v>Jan R16</v>
          </cell>
          <cell r="C182">
            <v>119</v>
          </cell>
          <cell r="D182">
            <v>59292</v>
          </cell>
        </row>
        <row r="183">
          <cell r="B183" t="str">
            <v>Jan R17</v>
          </cell>
          <cell r="C183">
            <v>120</v>
          </cell>
          <cell r="D183">
            <v>57708</v>
          </cell>
        </row>
        <row r="184">
          <cell r="B184" t="str">
            <v>Jan R18</v>
          </cell>
          <cell r="C184">
            <v>121</v>
          </cell>
          <cell r="D184">
            <v>56124</v>
          </cell>
        </row>
        <row r="185">
          <cell r="B185" t="str">
            <v>Jan R19</v>
          </cell>
          <cell r="C185">
            <v>122</v>
          </cell>
          <cell r="D185">
            <v>54540</v>
          </cell>
        </row>
        <row r="186">
          <cell r="B186" t="str">
            <v>Jan R2</v>
          </cell>
          <cell r="C186">
            <v>105</v>
          </cell>
          <cell r="D186">
            <v>86730</v>
          </cell>
        </row>
        <row r="187">
          <cell r="B187" t="str">
            <v>Jan R20</v>
          </cell>
          <cell r="C187">
            <v>123</v>
          </cell>
          <cell r="D187">
            <v>52956</v>
          </cell>
        </row>
        <row r="188">
          <cell r="B188" t="str">
            <v>Jan R21</v>
          </cell>
          <cell r="C188">
            <v>124</v>
          </cell>
          <cell r="D188">
            <v>51372</v>
          </cell>
        </row>
        <row r="189">
          <cell r="B189" t="str">
            <v>Jan R22</v>
          </cell>
          <cell r="C189">
            <v>125</v>
          </cell>
          <cell r="D189">
            <v>49788</v>
          </cell>
        </row>
        <row r="190">
          <cell r="B190" t="str">
            <v>Jan R23</v>
          </cell>
          <cell r="C190">
            <v>126</v>
          </cell>
          <cell r="D190">
            <v>48204</v>
          </cell>
        </row>
        <row r="191">
          <cell r="B191" t="str">
            <v>Jan R24</v>
          </cell>
          <cell r="C191">
            <v>127</v>
          </cell>
          <cell r="D191">
            <v>46674</v>
          </cell>
        </row>
        <row r="192">
          <cell r="B192" t="str">
            <v>Jan R25</v>
          </cell>
          <cell r="C192">
            <v>128</v>
          </cell>
          <cell r="D192">
            <v>45162</v>
          </cell>
        </row>
        <row r="193">
          <cell r="B193" t="str">
            <v>Jan R26</v>
          </cell>
          <cell r="C193">
            <v>129</v>
          </cell>
          <cell r="D193">
            <v>43650</v>
          </cell>
        </row>
        <row r="194">
          <cell r="B194" t="str">
            <v>Jan R27</v>
          </cell>
          <cell r="C194">
            <v>130</v>
          </cell>
          <cell r="D194">
            <v>42138</v>
          </cell>
        </row>
        <row r="195">
          <cell r="B195" t="str">
            <v>Jan R28</v>
          </cell>
          <cell r="C195">
            <v>131</v>
          </cell>
          <cell r="D195">
            <v>40626</v>
          </cell>
        </row>
        <row r="196">
          <cell r="B196" t="str">
            <v>Jan R29</v>
          </cell>
          <cell r="C196">
            <v>132</v>
          </cell>
          <cell r="D196">
            <v>39114</v>
          </cell>
        </row>
        <row r="197">
          <cell r="B197" t="str">
            <v>Jan R3</v>
          </cell>
          <cell r="C197">
            <v>106</v>
          </cell>
          <cell r="D197">
            <v>83250</v>
          </cell>
        </row>
        <row r="198">
          <cell r="B198" t="str">
            <v>Jan R30</v>
          </cell>
          <cell r="C198">
            <v>133</v>
          </cell>
          <cell r="D198">
            <v>37755</v>
          </cell>
        </row>
        <row r="199">
          <cell r="B199" t="str">
            <v>Jan R31</v>
          </cell>
          <cell r="C199">
            <v>134</v>
          </cell>
          <cell r="D199">
            <v>36447</v>
          </cell>
        </row>
        <row r="200">
          <cell r="B200" t="str">
            <v>Jan R32</v>
          </cell>
          <cell r="C200">
            <v>135</v>
          </cell>
          <cell r="D200">
            <v>35139</v>
          </cell>
        </row>
        <row r="201">
          <cell r="B201" t="str">
            <v>Jan R33</v>
          </cell>
          <cell r="C201">
            <v>136</v>
          </cell>
          <cell r="D201">
            <v>33831</v>
          </cell>
        </row>
        <row r="202">
          <cell r="B202" t="str">
            <v>Jan R34</v>
          </cell>
          <cell r="C202">
            <v>137</v>
          </cell>
          <cell r="D202">
            <v>32523</v>
          </cell>
        </row>
        <row r="203">
          <cell r="B203" t="str">
            <v>Jan R35</v>
          </cell>
          <cell r="C203">
            <v>138</v>
          </cell>
          <cell r="D203">
            <v>31296</v>
          </cell>
        </row>
        <row r="204">
          <cell r="B204" t="str">
            <v>Jan R36</v>
          </cell>
          <cell r="C204">
            <v>139</v>
          </cell>
          <cell r="D204">
            <v>30096</v>
          </cell>
        </row>
        <row r="205">
          <cell r="B205" t="str">
            <v>Jan R37</v>
          </cell>
          <cell r="C205">
            <v>140</v>
          </cell>
          <cell r="D205">
            <v>28896</v>
          </cell>
        </row>
        <row r="206">
          <cell r="B206" t="str">
            <v>Jan R38</v>
          </cell>
          <cell r="C206">
            <v>141</v>
          </cell>
          <cell r="D206">
            <v>27696</v>
          </cell>
        </row>
        <row r="207">
          <cell r="B207" t="str">
            <v>Jan R39</v>
          </cell>
          <cell r="C207">
            <v>142</v>
          </cell>
          <cell r="D207">
            <v>26496</v>
          </cell>
        </row>
        <row r="208">
          <cell r="B208" t="str">
            <v>Jan R4</v>
          </cell>
          <cell r="C208">
            <v>107</v>
          </cell>
          <cell r="D208">
            <v>80640</v>
          </cell>
        </row>
        <row r="209">
          <cell r="B209" t="str">
            <v>Jan R40</v>
          </cell>
          <cell r="C209">
            <v>143</v>
          </cell>
          <cell r="D209">
            <v>25296</v>
          </cell>
        </row>
        <row r="210">
          <cell r="B210" t="str">
            <v>Jan R41</v>
          </cell>
          <cell r="C210">
            <v>144</v>
          </cell>
          <cell r="D210">
            <v>24465</v>
          </cell>
        </row>
        <row r="211">
          <cell r="B211" t="str">
            <v>Jan R42</v>
          </cell>
          <cell r="C211">
            <v>145</v>
          </cell>
          <cell r="D211">
            <v>23757</v>
          </cell>
        </row>
        <row r="212">
          <cell r="B212" t="str">
            <v>Jan R43</v>
          </cell>
          <cell r="C212">
            <v>146</v>
          </cell>
          <cell r="D212">
            <v>23049</v>
          </cell>
        </row>
        <row r="213">
          <cell r="B213" t="str">
            <v>Jan R44</v>
          </cell>
          <cell r="C213">
            <v>147</v>
          </cell>
          <cell r="D213">
            <v>22341</v>
          </cell>
        </row>
        <row r="214">
          <cell r="B214" t="str">
            <v>Jan R45</v>
          </cell>
          <cell r="C214">
            <v>148</v>
          </cell>
          <cell r="D214">
            <v>21633</v>
          </cell>
        </row>
        <row r="215">
          <cell r="B215" t="str">
            <v>Jan R46</v>
          </cell>
          <cell r="C215">
            <v>149</v>
          </cell>
          <cell r="D215">
            <v>20925</v>
          </cell>
        </row>
        <row r="216">
          <cell r="B216" t="str">
            <v>Jan R47</v>
          </cell>
          <cell r="C216">
            <v>150</v>
          </cell>
          <cell r="D216">
            <v>20415</v>
          </cell>
        </row>
        <row r="217">
          <cell r="B217" t="str">
            <v>Jan R48</v>
          </cell>
          <cell r="C217">
            <v>151</v>
          </cell>
          <cell r="D217">
            <v>19971</v>
          </cell>
        </row>
        <row r="218">
          <cell r="B218" t="str">
            <v>Jan R49</v>
          </cell>
          <cell r="C218">
            <v>152</v>
          </cell>
          <cell r="D218">
            <v>19527</v>
          </cell>
        </row>
        <row r="219">
          <cell r="B219" t="str">
            <v>Jan R5</v>
          </cell>
          <cell r="C219">
            <v>108</v>
          </cell>
          <cell r="D219">
            <v>78480</v>
          </cell>
        </row>
        <row r="220">
          <cell r="B220" t="str">
            <v>Jan R50</v>
          </cell>
          <cell r="C220">
            <v>153</v>
          </cell>
          <cell r="D220">
            <v>19083</v>
          </cell>
        </row>
        <row r="221">
          <cell r="B221" t="str">
            <v>Jan R51</v>
          </cell>
          <cell r="C221">
            <v>154</v>
          </cell>
          <cell r="D221">
            <v>18639</v>
          </cell>
        </row>
        <row r="222">
          <cell r="B222" t="str">
            <v>Jan R6</v>
          </cell>
          <cell r="C222">
            <v>109</v>
          </cell>
          <cell r="D222">
            <v>75750</v>
          </cell>
        </row>
        <row r="223">
          <cell r="B223" t="str">
            <v>Jan R7</v>
          </cell>
          <cell r="C223">
            <v>110</v>
          </cell>
          <cell r="D223">
            <v>73605</v>
          </cell>
        </row>
        <row r="224">
          <cell r="B224" t="str">
            <v>Jan R8</v>
          </cell>
          <cell r="C224">
            <v>111</v>
          </cell>
          <cell r="D224">
            <v>71835</v>
          </cell>
        </row>
        <row r="225">
          <cell r="B225" t="str">
            <v>Jan R9</v>
          </cell>
          <cell r="C225">
            <v>112</v>
          </cell>
          <cell r="D225">
            <v>70419</v>
          </cell>
        </row>
        <row r="226">
          <cell r="B226" t="str">
            <v>Jul R10</v>
          </cell>
          <cell r="C226">
            <v>163</v>
          </cell>
          <cell r="D226">
            <v>69687</v>
          </cell>
        </row>
        <row r="227">
          <cell r="B227" t="str">
            <v>Jul R11</v>
          </cell>
          <cell r="C227">
            <v>164</v>
          </cell>
          <cell r="D227">
            <v>68067</v>
          </cell>
        </row>
        <row r="228">
          <cell r="B228" t="str">
            <v>Jul R12</v>
          </cell>
          <cell r="C228">
            <v>165</v>
          </cell>
          <cell r="D228">
            <v>66447</v>
          </cell>
        </row>
        <row r="229">
          <cell r="B229" t="str">
            <v>Jul R13</v>
          </cell>
          <cell r="C229">
            <v>166</v>
          </cell>
          <cell r="D229">
            <v>64836</v>
          </cell>
        </row>
        <row r="230">
          <cell r="B230" t="str">
            <v>Jul R14</v>
          </cell>
          <cell r="C230">
            <v>167</v>
          </cell>
          <cell r="D230">
            <v>63252</v>
          </cell>
        </row>
        <row r="231">
          <cell r="B231" t="str">
            <v>Jul R15</v>
          </cell>
          <cell r="C231">
            <v>168</v>
          </cell>
          <cell r="D231">
            <v>61668</v>
          </cell>
        </row>
        <row r="232">
          <cell r="B232" t="str">
            <v>Jul R16</v>
          </cell>
          <cell r="C232">
            <v>169</v>
          </cell>
          <cell r="D232">
            <v>60084</v>
          </cell>
        </row>
        <row r="233">
          <cell r="B233" t="str">
            <v>Jul R17</v>
          </cell>
          <cell r="C233">
            <v>170</v>
          </cell>
          <cell r="D233">
            <v>58500</v>
          </cell>
        </row>
        <row r="234">
          <cell r="B234" t="str">
            <v>Jul R18</v>
          </cell>
          <cell r="C234">
            <v>171</v>
          </cell>
          <cell r="D234">
            <v>56916</v>
          </cell>
        </row>
        <row r="235">
          <cell r="B235" t="str">
            <v>Jul R19</v>
          </cell>
          <cell r="C235">
            <v>172</v>
          </cell>
          <cell r="D235">
            <v>55332</v>
          </cell>
        </row>
        <row r="236">
          <cell r="B236" t="str">
            <v>Jul R2</v>
          </cell>
          <cell r="C236">
            <v>155</v>
          </cell>
          <cell r="D236">
            <v>90990</v>
          </cell>
        </row>
        <row r="237">
          <cell r="B237" t="str">
            <v>Jul R20</v>
          </cell>
          <cell r="C237">
            <v>173</v>
          </cell>
          <cell r="D237">
            <v>53748</v>
          </cell>
        </row>
        <row r="238">
          <cell r="B238" t="str">
            <v>Jul R21</v>
          </cell>
          <cell r="C238">
            <v>174</v>
          </cell>
          <cell r="D238">
            <v>52164</v>
          </cell>
        </row>
        <row r="239">
          <cell r="B239" t="str">
            <v>Jul R22</v>
          </cell>
          <cell r="C239">
            <v>175</v>
          </cell>
          <cell r="D239">
            <v>50580</v>
          </cell>
        </row>
        <row r="240">
          <cell r="B240" t="str">
            <v>Jul R23</v>
          </cell>
          <cell r="C240">
            <v>176</v>
          </cell>
          <cell r="D240">
            <v>48996</v>
          </cell>
        </row>
        <row r="241">
          <cell r="B241" t="str">
            <v>Jul R24</v>
          </cell>
          <cell r="C241">
            <v>177</v>
          </cell>
          <cell r="D241">
            <v>47430</v>
          </cell>
        </row>
        <row r="242">
          <cell r="B242" t="str">
            <v>Jul R25</v>
          </cell>
          <cell r="C242">
            <v>178</v>
          </cell>
          <cell r="D242">
            <v>45918</v>
          </cell>
        </row>
        <row r="243">
          <cell r="B243" t="str">
            <v>Jul R26</v>
          </cell>
          <cell r="C243">
            <v>179</v>
          </cell>
          <cell r="D243">
            <v>44406</v>
          </cell>
        </row>
        <row r="244">
          <cell r="B244" t="str">
            <v>Jul R27</v>
          </cell>
          <cell r="C244">
            <v>180</v>
          </cell>
          <cell r="D244">
            <v>42894</v>
          </cell>
        </row>
        <row r="245">
          <cell r="B245" t="str">
            <v>Jul R28</v>
          </cell>
          <cell r="C245">
            <v>181</v>
          </cell>
          <cell r="D245">
            <v>41382</v>
          </cell>
        </row>
        <row r="246">
          <cell r="B246" t="str">
            <v>Jul R29</v>
          </cell>
          <cell r="C246">
            <v>182</v>
          </cell>
          <cell r="D246">
            <v>39870</v>
          </cell>
        </row>
        <row r="247">
          <cell r="B247" t="str">
            <v>Jul R3</v>
          </cell>
          <cell r="C247">
            <v>156</v>
          </cell>
          <cell r="D247">
            <v>84150</v>
          </cell>
        </row>
        <row r="248">
          <cell r="B248" t="str">
            <v>Jul R30</v>
          </cell>
          <cell r="C248">
            <v>183</v>
          </cell>
          <cell r="D248">
            <v>38409</v>
          </cell>
        </row>
        <row r="249">
          <cell r="B249" t="str">
            <v>Jul R31</v>
          </cell>
          <cell r="C249">
            <v>184</v>
          </cell>
          <cell r="D249">
            <v>37101</v>
          </cell>
        </row>
        <row r="250">
          <cell r="B250" t="str">
            <v>Jul R32</v>
          </cell>
          <cell r="C250">
            <v>185</v>
          </cell>
          <cell r="D250">
            <v>35793</v>
          </cell>
        </row>
        <row r="251">
          <cell r="B251" t="str">
            <v>Jul R33</v>
          </cell>
          <cell r="C251">
            <v>186</v>
          </cell>
          <cell r="D251">
            <v>34485</v>
          </cell>
        </row>
        <row r="252">
          <cell r="B252" t="str">
            <v>Jul R34</v>
          </cell>
          <cell r="C252">
            <v>187</v>
          </cell>
          <cell r="D252">
            <v>33177</v>
          </cell>
        </row>
        <row r="253">
          <cell r="B253" t="str">
            <v>Jul R35</v>
          </cell>
          <cell r="C253">
            <v>188</v>
          </cell>
          <cell r="D253">
            <v>31896</v>
          </cell>
        </row>
        <row r="254">
          <cell r="B254" t="str">
            <v>Jul R36</v>
          </cell>
          <cell r="C254">
            <v>189</v>
          </cell>
          <cell r="D254">
            <v>30696</v>
          </cell>
        </row>
        <row r="255">
          <cell r="B255" t="str">
            <v>Jul R37</v>
          </cell>
          <cell r="C255">
            <v>190</v>
          </cell>
          <cell r="D255">
            <v>29496</v>
          </cell>
        </row>
        <row r="256">
          <cell r="B256" t="str">
            <v>Jul R38</v>
          </cell>
          <cell r="C256">
            <v>191</v>
          </cell>
          <cell r="D256">
            <v>28296</v>
          </cell>
        </row>
        <row r="257">
          <cell r="B257" t="str">
            <v>Jul R39</v>
          </cell>
          <cell r="C257">
            <v>192</v>
          </cell>
          <cell r="D257">
            <v>27096</v>
          </cell>
        </row>
        <row r="258">
          <cell r="B258" t="str">
            <v>Jul R4</v>
          </cell>
          <cell r="C258">
            <v>157</v>
          </cell>
          <cell r="D258">
            <v>82080</v>
          </cell>
        </row>
        <row r="259">
          <cell r="B259" t="str">
            <v>Jul R40</v>
          </cell>
          <cell r="C259">
            <v>193</v>
          </cell>
          <cell r="D259">
            <v>25896</v>
          </cell>
        </row>
        <row r="260">
          <cell r="B260" t="str">
            <v>Jul R41</v>
          </cell>
          <cell r="C260">
            <v>194</v>
          </cell>
          <cell r="D260">
            <v>24819</v>
          </cell>
        </row>
        <row r="261">
          <cell r="B261" t="str">
            <v>Jul R42</v>
          </cell>
          <cell r="C261">
            <v>195</v>
          </cell>
          <cell r="D261">
            <v>24111</v>
          </cell>
        </row>
        <row r="262">
          <cell r="B262" t="str">
            <v>Jul R43</v>
          </cell>
          <cell r="C262">
            <v>196</v>
          </cell>
          <cell r="D262">
            <v>23403</v>
          </cell>
        </row>
        <row r="263">
          <cell r="B263" t="str">
            <v>Jul R44</v>
          </cell>
          <cell r="C263">
            <v>197</v>
          </cell>
          <cell r="D263">
            <v>22695</v>
          </cell>
        </row>
        <row r="264">
          <cell r="B264" t="str">
            <v>Jul R45</v>
          </cell>
          <cell r="C264">
            <v>198</v>
          </cell>
          <cell r="D264">
            <v>21987</v>
          </cell>
        </row>
        <row r="265">
          <cell r="B265" t="str">
            <v>Jul R46</v>
          </cell>
          <cell r="C265">
            <v>199</v>
          </cell>
          <cell r="D265">
            <v>21279</v>
          </cell>
        </row>
        <row r="266">
          <cell r="B266" t="str">
            <v>Jul R47</v>
          </cell>
          <cell r="C266">
            <v>200</v>
          </cell>
          <cell r="D266">
            <v>20637</v>
          </cell>
        </row>
        <row r="267">
          <cell r="B267" t="str">
            <v>Jul R48</v>
          </cell>
          <cell r="C267">
            <v>201</v>
          </cell>
          <cell r="D267">
            <v>20193</v>
          </cell>
        </row>
        <row r="268">
          <cell r="B268" t="str">
            <v>Jul R49</v>
          </cell>
          <cell r="C268">
            <v>202</v>
          </cell>
          <cell r="D268">
            <v>19749</v>
          </cell>
        </row>
        <row r="269">
          <cell r="B269" t="str">
            <v>Jul R5</v>
          </cell>
          <cell r="C269">
            <v>158</v>
          </cell>
          <cell r="D269">
            <v>79440</v>
          </cell>
        </row>
        <row r="270">
          <cell r="B270" t="str">
            <v>Jul R50</v>
          </cell>
          <cell r="C270">
            <v>203</v>
          </cell>
          <cell r="D270">
            <v>19305</v>
          </cell>
        </row>
        <row r="271">
          <cell r="B271" t="str">
            <v>Jul R51</v>
          </cell>
          <cell r="C271">
            <v>204</v>
          </cell>
          <cell r="D271">
            <v>18861</v>
          </cell>
        </row>
        <row r="272">
          <cell r="B272" t="str">
            <v>Jul R6</v>
          </cell>
          <cell r="C272">
            <v>159</v>
          </cell>
          <cell r="D272">
            <v>77250</v>
          </cell>
        </row>
        <row r="273">
          <cell r="B273" t="str">
            <v>Jul R7</v>
          </cell>
          <cell r="C273">
            <v>160</v>
          </cell>
          <cell r="D273">
            <v>74535</v>
          </cell>
        </row>
        <row r="274">
          <cell r="B274" t="str">
            <v>Jul R8</v>
          </cell>
          <cell r="C274">
            <v>161</v>
          </cell>
          <cell r="D274">
            <v>72705</v>
          </cell>
        </row>
        <row r="275">
          <cell r="B275" t="str">
            <v>Jul R9</v>
          </cell>
          <cell r="C275">
            <v>162</v>
          </cell>
          <cell r="D275">
            <v>71073</v>
          </cell>
        </row>
        <row r="276">
          <cell r="B276" t="str">
            <v>Minister</v>
          </cell>
          <cell r="C276">
            <v>2</v>
          </cell>
          <cell r="D276">
            <v>96516</v>
          </cell>
        </row>
        <row r="277">
          <cell r="B277" t="str">
            <v>Oct R10</v>
          </cell>
          <cell r="C277">
            <v>213</v>
          </cell>
          <cell r="D277">
            <v>69282</v>
          </cell>
        </row>
        <row r="278">
          <cell r="B278" t="str">
            <v>Oct R11</v>
          </cell>
          <cell r="C278">
            <v>214</v>
          </cell>
          <cell r="D278">
            <v>67662</v>
          </cell>
        </row>
        <row r="279">
          <cell r="B279" t="str">
            <v>Oct R12</v>
          </cell>
          <cell r="C279">
            <v>215</v>
          </cell>
          <cell r="D279">
            <v>66042</v>
          </cell>
        </row>
        <row r="280">
          <cell r="B280" t="str">
            <v>Oct R13</v>
          </cell>
          <cell r="C280">
            <v>216</v>
          </cell>
          <cell r="D280">
            <v>64440</v>
          </cell>
        </row>
        <row r="281">
          <cell r="B281" t="str">
            <v>Oct R14</v>
          </cell>
          <cell r="C281">
            <v>217</v>
          </cell>
          <cell r="D281">
            <v>62856</v>
          </cell>
        </row>
        <row r="282">
          <cell r="B282" t="str">
            <v>Oct R15</v>
          </cell>
          <cell r="C282">
            <v>218</v>
          </cell>
          <cell r="D282">
            <v>61272</v>
          </cell>
        </row>
        <row r="283">
          <cell r="B283" t="str">
            <v>Oct R16</v>
          </cell>
          <cell r="C283">
            <v>219</v>
          </cell>
          <cell r="D283">
            <v>59688</v>
          </cell>
        </row>
        <row r="284">
          <cell r="B284" t="str">
            <v>Oct R17</v>
          </cell>
          <cell r="C284">
            <v>220</v>
          </cell>
          <cell r="D284">
            <v>58104</v>
          </cell>
        </row>
        <row r="285">
          <cell r="B285" t="str">
            <v>Oct R18</v>
          </cell>
          <cell r="C285">
            <v>221</v>
          </cell>
          <cell r="D285">
            <v>56520</v>
          </cell>
        </row>
        <row r="286">
          <cell r="B286" t="str">
            <v>Oct R19</v>
          </cell>
          <cell r="C286">
            <v>222</v>
          </cell>
          <cell r="D286">
            <v>54936</v>
          </cell>
        </row>
        <row r="287">
          <cell r="B287" t="str">
            <v>Oct R2</v>
          </cell>
          <cell r="C287">
            <v>205</v>
          </cell>
          <cell r="D287">
            <v>88860</v>
          </cell>
        </row>
        <row r="288">
          <cell r="B288" t="str">
            <v>Oct R20</v>
          </cell>
          <cell r="C288">
            <v>223</v>
          </cell>
          <cell r="D288">
            <v>53352</v>
          </cell>
        </row>
        <row r="289">
          <cell r="B289" t="str">
            <v>Oct R21</v>
          </cell>
          <cell r="C289">
            <v>224</v>
          </cell>
          <cell r="D289">
            <v>51768</v>
          </cell>
        </row>
        <row r="290">
          <cell r="B290" t="str">
            <v>Oct R22</v>
          </cell>
          <cell r="C290">
            <v>225</v>
          </cell>
          <cell r="D290">
            <v>50184</v>
          </cell>
        </row>
        <row r="291">
          <cell r="B291" t="str">
            <v>Oct R23</v>
          </cell>
          <cell r="C291">
            <v>226</v>
          </cell>
          <cell r="D291">
            <v>48600</v>
          </cell>
        </row>
        <row r="292">
          <cell r="B292" t="str">
            <v>Oct R24</v>
          </cell>
          <cell r="C292">
            <v>227</v>
          </cell>
          <cell r="D292">
            <v>47052</v>
          </cell>
        </row>
        <row r="293">
          <cell r="B293" t="str">
            <v>Oct R25</v>
          </cell>
          <cell r="C293">
            <v>228</v>
          </cell>
          <cell r="D293">
            <v>45540</v>
          </cell>
        </row>
        <row r="294">
          <cell r="B294" t="str">
            <v>Oct R26</v>
          </cell>
          <cell r="C294">
            <v>229</v>
          </cell>
          <cell r="D294">
            <v>44028</v>
          </cell>
        </row>
        <row r="295">
          <cell r="B295" t="str">
            <v>Oct R27</v>
          </cell>
          <cell r="C295">
            <v>230</v>
          </cell>
          <cell r="D295">
            <v>42516</v>
          </cell>
        </row>
        <row r="296">
          <cell r="B296" t="str">
            <v>Oct R28</v>
          </cell>
          <cell r="C296">
            <v>231</v>
          </cell>
          <cell r="D296">
            <v>41004</v>
          </cell>
        </row>
        <row r="297">
          <cell r="B297" t="str">
            <v>Oct R29</v>
          </cell>
          <cell r="C297">
            <v>232</v>
          </cell>
          <cell r="D297">
            <v>39492</v>
          </cell>
        </row>
        <row r="298">
          <cell r="B298" t="str">
            <v>Oct R3</v>
          </cell>
          <cell r="C298">
            <v>206</v>
          </cell>
          <cell r="D298">
            <v>83700</v>
          </cell>
        </row>
        <row r="299">
          <cell r="B299" t="str">
            <v>Oct R30</v>
          </cell>
          <cell r="C299">
            <v>233</v>
          </cell>
          <cell r="D299">
            <v>38082</v>
          </cell>
        </row>
        <row r="300">
          <cell r="B300" t="str">
            <v>Oct R31</v>
          </cell>
          <cell r="C300">
            <v>234</v>
          </cell>
          <cell r="D300">
            <v>36774</v>
          </cell>
        </row>
        <row r="301">
          <cell r="B301" t="str">
            <v>Oct R32</v>
          </cell>
          <cell r="C301">
            <v>235</v>
          </cell>
          <cell r="D301">
            <v>35466</v>
          </cell>
        </row>
        <row r="302">
          <cell r="B302" t="str">
            <v>Oct R33</v>
          </cell>
          <cell r="C302">
            <v>236</v>
          </cell>
          <cell r="D302">
            <v>34158</v>
          </cell>
        </row>
        <row r="303">
          <cell r="B303" t="str">
            <v>Oct R34</v>
          </cell>
          <cell r="C303">
            <v>237</v>
          </cell>
          <cell r="D303">
            <v>32850</v>
          </cell>
        </row>
        <row r="304">
          <cell r="B304" t="str">
            <v>Oct R35</v>
          </cell>
          <cell r="C304">
            <v>238</v>
          </cell>
          <cell r="D304">
            <v>31596</v>
          </cell>
        </row>
        <row r="305">
          <cell r="B305" t="str">
            <v>Oct R36</v>
          </cell>
          <cell r="C305">
            <v>239</v>
          </cell>
          <cell r="D305">
            <v>30396</v>
          </cell>
        </row>
        <row r="306">
          <cell r="B306" t="str">
            <v>Oct R37</v>
          </cell>
          <cell r="C306">
            <v>240</v>
          </cell>
          <cell r="D306">
            <v>29196</v>
          </cell>
        </row>
        <row r="307">
          <cell r="B307" t="str">
            <v>Oct R38</v>
          </cell>
          <cell r="C307">
            <v>241</v>
          </cell>
          <cell r="D307">
            <v>27996</v>
          </cell>
        </row>
        <row r="308">
          <cell r="B308" t="str">
            <v>Oct R39</v>
          </cell>
          <cell r="C308">
            <v>242</v>
          </cell>
          <cell r="D308">
            <v>26796</v>
          </cell>
        </row>
        <row r="309">
          <cell r="B309" t="str">
            <v>Oct R4</v>
          </cell>
          <cell r="C309">
            <v>207</v>
          </cell>
          <cell r="D309">
            <v>81360</v>
          </cell>
        </row>
        <row r="310">
          <cell r="B310" t="str">
            <v>Oct R40</v>
          </cell>
          <cell r="C310">
            <v>243</v>
          </cell>
          <cell r="D310">
            <v>25596</v>
          </cell>
        </row>
        <row r="311">
          <cell r="B311" t="str">
            <v>Oct R41</v>
          </cell>
          <cell r="C311">
            <v>244</v>
          </cell>
          <cell r="D311">
            <v>24642</v>
          </cell>
        </row>
        <row r="312">
          <cell r="B312" t="str">
            <v>Oct R42</v>
          </cell>
          <cell r="C312">
            <v>245</v>
          </cell>
          <cell r="D312">
            <v>23934</v>
          </cell>
        </row>
        <row r="313">
          <cell r="B313" t="str">
            <v>Oct R43</v>
          </cell>
          <cell r="C313">
            <v>246</v>
          </cell>
          <cell r="D313">
            <v>23226</v>
          </cell>
        </row>
        <row r="314">
          <cell r="B314" t="str">
            <v>Oct R44</v>
          </cell>
          <cell r="C314">
            <v>247</v>
          </cell>
          <cell r="D314">
            <v>22518</v>
          </cell>
        </row>
        <row r="315">
          <cell r="B315" t="str">
            <v>Oct R45</v>
          </cell>
          <cell r="C315">
            <v>248</v>
          </cell>
          <cell r="D315">
            <v>21810</v>
          </cell>
        </row>
        <row r="316">
          <cell r="B316" t="str">
            <v>Oct R46</v>
          </cell>
          <cell r="C316">
            <v>249</v>
          </cell>
          <cell r="D316">
            <v>21102</v>
          </cell>
        </row>
        <row r="317">
          <cell r="B317" t="str">
            <v>Oct R47</v>
          </cell>
          <cell r="C317">
            <v>250</v>
          </cell>
          <cell r="D317">
            <v>20526</v>
          </cell>
        </row>
        <row r="318">
          <cell r="B318" t="str">
            <v>Oct R48</v>
          </cell>
          <cell r="C318">
            <v>251</v>
          </cell>
          <cell r="D318">
            <v>20082</v>
          </cell>
        </row>
        <row r="319">
          <cell r="B319" t="str">
            <v>Oct R49</v>
          </cell>
          <cell r="C319">
            <v>252</v>
          </cell>
          <cell r="D319">
            <v>19638</v>
          </cell>
        </row>
        <row r="320">
          <cell r="B320" t="str">
            <v>Oct R5</v>
          </cell>
          <cell r="C320">
            <v>208</v>
          </cell>
          <cell r="D320">
            <v>78960</v>
          </cell>
        </row>
        <row r="321">
          <cell r="B321" t="str">
            <v>Oct R50</v>
          </cell>
          <cell r="C321">
            <v>253</v>
          </cell>
          <cell r="D321">
            <v>19194</v>
          </cell>
        </row>
        <row r="322">
          <cell r="B322" t="str">
            <v>Oct R51</v>
          </cell>
          <cell r="C322">
            <v>254</v>
          </cell>
          <cell r="D322">
            <v>18750</v>
          </cell>
        </row>
        <row r="323">
          <cell r="B323" t="str">
            <v>Oct R6</v>
          </cell>
          <cell r="C323">
            <v>209</v>
          </cell>
          <cell r="D323">
            <v>76500</v>
          </cell>
        </row>
        <row r="324">
          <cell r="B324" t="str">
            <v>Oct R7</v>
          </cell>
          <cell r="C324">
            <v>210</v>
          </cell>
          <cell r="D324">
            <v>74070</v>
          </cell>
        </row>
        <row r="325">
          <cell r="B325" t="str">
            <v>Oct R8</v>
          </cell>
          <cell r="C325">
            <v>211</v>
          </cell>
          <cell r="D325">
            <v>72270</v>
          </cell>
        </row>
        <row r="326">
          <cell r="B326" t="str">
            <v>Oct R9</v>
          </cell>
          <cell r="C326">
            <v>212</v>
          </cell>
          <cell r="D326">
            <v>70746</v>
          </cell>
        </row>
      </sheetData>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65"/>
  <sheetViews>
    <sheetView tabSelected="1" view="pageBreakPreview" zoomScaleNormal="100" zoomScaleSheetLayoutView="100" workbookViewId="0">
      <selection activeCell="B1" sqref="B1"/>
    </sheetView>
  </sheetViews>
  <sheetFormatPr defaultColWidth="9.140625" defaultRowHeight="12.75" x14ac:dyDescent="0.2"/>
  <cols>
    <col min="1" max="1" width="6.85546875" style="88" customWidth="1"/>
    <col min="2" max="2" width="5.5703125" style="81" customWidth="1"/>
    <col min="3" max="3" width="0.85546875" style="81" customWidth="1"/>
    <col min="4" max="4" width="4.5703125" style="81" customWidth="1"/>
    <col min="5" max="5" width="18.5703125" style="81" customWidth="1"/>
    <col min="6" max="6" width="12.5703125" style="81" customWidth="1"/>
    <col min="7" max="12" width="10.28515625" style="94" customWidth="1"/>
    <col min="13" max="16384" width="9.140625" style="6"/>
  </cols>
  <sheetData>
    <row r="1" spans="1:12" x14ac:dyDescent="0.2">
      <c r="A1" s="1"/>
      <c r="B1" s="2"/>
      <c r="C1" s="2"/>
      <c r="D1" s="2"/>
      <c r="E1" s="2"/>
      <c r="F1" s="3"/>
      <c r="G1" s="4"/>
      <c r="H1" s="5"/>
      <c r="I1" s="5"/>
      <c r="J1" s="5"/>
      <c r="K1" s="5"/>
      <c r="L1" s="5"/>
    </row>
    <row r="2" spans="1:12" x14ac:dyDescent="0.2">
      <c r="A2" s="7"/>
      <c r="B2" s="8"/>
      <c r="C2" s="8"/>
      <c r="D2" s="9"/>
      <c r="E2" s="10" t="s">
        <v>0</v>
      </c>
      <c r="F2" s="10"/>
      <c r="G2" s="10"/>
      <c r="H2" s="10"/>
      <c r="I2" s="10"/>
      <c r="J2" s="10"/>
      <c r="K2" s="10"/>
      <c r="L2" s="10"/>
    </row>
    <row r="3" spans="1:12" ht="34.5" thickBot="1" x14ac:dyDescent="0.25">
      <c r="A3" s="11"/>
      <c r="B3" s="12"/>
      <c r="C3" s="12"/>
      <c r="D3" s="12"/>
      <c r="E3" s="13" t="s">
        <v>1</v>
      </c>
      <c r="F3" s="14"/>
      <c r="G3" s="15" t="s">
        <v>2989</v>
      </c>
      <c r="H3" s="15" t="s">
        <v>2990</v>
      </c>
      <c r="I3" s="15" t="s">
        <v>2991</v>
      </c>
      <c r="J3" s="15" t="s">
        <v>2992</v>
      </c>
      <c r="K3" s="15" t="s">
        <v>2993</v>
      </c>
      <c r="L3" s="15" t="s">
        <v>2994</v>
      </c>
    </row>
    <row r="4" spans="1:12" x14ac:dyDescent="0.2">
      <c r="A4" s="11"/>
      <c r="B4" s="16"/>
      <c r="C4" s="16"/>
      <c r="D4" s="17"/>
      <c r="E4" s="9" t="s">
        <v>2</v>
      </c>
      <c r="F4" s="18"/>
      <c r="G4" s="19"/>
      <c r="H4" s="19"/>
      <c r="I4" s="19"/>
      <c r="J4" s="19"/>
      <c r="K4" s="19"/>
      <c r="L4" s="19"/>
    </row>
    <row r="5" spans="1:12" x14ac:dyDescent="0.2">
      <c r="A5" s="11"/>
      <c r="B5" s="17"/>
      <c r="C5" s="17"/>
      <c r="D5" s="12"/>
      <c r="E5" s="20" t="s">
        <v>3</v>
      </c>
      <c r="F5" s="18"/>
      <c r="G5" s="21">
        <f t="shared" ref="G5:L5" si="0">G37</f>
        <v>46063147.249999993</v>
      </c>
      <c r="H5" s="21">
        <f t="shared" si="0"/>
        <v>48558300</v>
      </c>
      <c r="I5" s="21">
        <f t="shared" si="0"/>
        <v>45777300</v>
      </c>
      <c r="J5" s="21">
        <f t="shared" si="0"/>
        <v>47267900</v>
      </c>
      <c r="K5" s="21">
        <f t="shared" si="0"/>
        <v>48013200</v>
      </c>
      <c r="L5" s="21">
        <f t="shared" si="0"/>
        <v>48766400</v>
      </c>
    </row>
    <row r="6" spans="1:12" x14ac:dyDescent="0.2">
      <c r="A6" s="11"/>
      <c r="B6" s="17"/>
      <c r="C6" s="17"/>
      <c r="D6" s="12"/>
      <c r="E6" s="20" t="s">
        <v>4</v>
      </c>
      <c r="F6" s="18"/>
      <c r="G6" s="21">
        <f>'20'!E172</f>
        <v>75349758.030000001</v>
      </c>
      <c r="H6" s="21">
        <f>'20'!F172</f>
        <v>79680000</v>
      </c>
      <c r="I6" s="21">
        <f>'20'!G172</f>
        <v>75929300</v>
      </c>
      <c r="J6" s="21">
        <f>'20'!H172</f>
        <v>78674900</v>
      </c>
      <c r="K6" s="21">
        <f>'20'!I172</f>
        <v>77984600</v>
      </c>
      <c r="L6" s="21">
        <f>'20'!J172</f>
        <v>77671300</v>
      </c>
    </row>
    <row r="7" spans="1:12" ht="13.5" thickBot="1" x14ac:dyDescent="0.25">
      <c r="A7" s="11"/>
      <c r="B7" s="17"/>
      <c r="C7" s="17"/>
      <c r="D7" s="12"/>
      <c r="E7" s="22" t="s">
        <v>5</v>
      </c>
      <c r="F7" s="18"/>
      <c r="G7" s="23">
        <f t="shared" ref="G7:L7" si="1">+G78</f>
        <v>121412905.27999999</v>
      </c>
      <c r="H7" s="23">
        <f t="shared" si="1"/>
        <v>128238300</v>
      </c>
      <c r="I7" s="23">
        <f t="shared" si="1"/>
        <v>121706600</v>
      </c>
      <c r="J7" s="23">
        <f t="shared" si="1"/>
        <v>125942800</v>
      </c>
      <c r="K7" s="23">
        <f t="shared" si="1"/>
        <v>125997800</v>
      </c>
      <c r="L7" s="23">
        <f t="shared" si="1"/>
        <v>126437700</v>
      </c>
    </row>
    <row r="8" spans="1:12" x14ac:dyDescent="0.2">
      <c r="A8" s="11"/>
      <c r="B8" s="17"/>
      <c r="C8" s="17"/>
      <c r="D8" s="12"/>
      <c r="E8" s="18"/>
      <c r="F8" s="18"/>
      <c r="G8" s="19"/>
      <c r="H8" s="19"/>
      <c r="I8" s="19"/>
      <c r="J8" s="19"/>
      <c r="K8" s="19"/>
      <c r="L8" s="19"/>
    </row>
    <row r="9" spans="1:12" x14ac:dyDescent="0.2">
      <c r="A9" s="11"/>
      <c r="B9" s="17"/>
      <c r="C9" s="17"/>
      <c r="D9" s="24"/>
      <c r="E9" s="9" t="s">
        <v>6</v>
      </c>
      <c r="F9" s="18"/>
      <c r="G9" s="19"/>
      <c r="H9" s="19"/>
      <c r="I9" s="19"/>
      <c r="J9" s="19"/>
      <c r="K9" s="19"/>
      <c r="L9" s="19"/>
    </row>
    <row r="10" spans="1:12" x14ac:dyDescent="0.2">
      <c r="A10" s="11"/>
      <c r="B10" s="17"/>
      <c r="C10" s="17"/>
      <c r="D10" s="12"/>
      <c r="E10" s="25" t="s">
        <v>7</v>
      </c>
      <c r="F10" s="18"/>
      <c r="G10" s="26">
        <f t="shared" ref="G10:L10" si="2">G430+G433</f>
        <v>34457041.5</v>
      </c>
      <c r="H10" s="26">
        <f t="shared" si="2"/>
        <v>38094700</v>
      </c>
      <c r="I10" s="26">
        <f t="shared" si="2"/>
        <v>36643200</v>
      </c>
      <c r="J10" s="26">
        <f t="shared" si="2"/>
        <v>39636600</v>
      </c>
      <c r="K10" s="26">
        <f t="shared" si="2"/>
        <v>41291600</v>
      </c>
      <c r="L10" s="26">
        <f t="shared" si="2"/>
        <v>41894700</v>
      </c>
    </row>
    <row r="11" spans="1:12" x14ac:dyDescent="0.2">
      <c r="A11" s="11"/>
      <c r="B11" s="17"/>
      <c r="C11" s="17"/>
      <c r="D11" s="12"/>
      <c r="E11" s="25" t="s">
        <v>8</v>
      </c>
      <c r="F11" s="18"/>
      <c r="G11" s="26">
        <f>G431</f>
        <v>0</v>
      </c>
      <c r="H11" s="26">
        <f t="shared" ref="H11:L12" si="3">H431</f>
        <v>0</v>
      </c>
      <c r="I11" s="26">
        <f t="shared" si="3"/>
        <v>0</v>
      </c>
      <c r="J11" s="26">
        <f t="shared" si="3"/>
        <v>0</v>
      </c>
      <c r="K11" s="26">
        <f t="shared" si="3"/>
        <v>0</v>
      </c>
      <c r="L11" s="26">
        <f t="shared" si="3"/>
        <v>0</v>
      </c>
    </row>
    <row r="12" spans="1:12" x14ac:dyDescent="0.2">
      <c r="A12" s="11"/>
      <c r="B12" s="17"/>
      <c r="C12" s="12"/>
      <c r="D12" s="12"/>
      <c r="E12" s="25" t="s">
        <v>9</v>
      </c>
      <c r="F12" s="18"/>
      <c r="G12" s="26">
        <f>G432</f>
        <v>538125.02999999991</v>
      </c>
      <c r="H12" s="26">
        <f t="shared" si="3"/>
        <v>694500</v>
      </c>
      <c r="I12" s="26">
        <f t="shared" si="3"/>
        <v>698500</v>
      </c>
      <c r="J12" s="26">
        <f t="shared" si="3"/>
        <v>688100</v>
      </c>
      <c r="K12" s="26">
        <f t="shared" si="3"/>
        <v>690800</v>
      </c>
      <c r="L12" s="26">
        <f t="shared" si="3"/>
        <v>693500</v>
      </c>
    </row>
    <row r="13" spans="1:12" x14ac:dyDescent="0.2">
      <c r="A13" s="11"/>
      <c r="B13" s="17"/>
      <c r="C13" s="12"/>
      <c r="D13" s="12"/>
      <c r="E13" s="25" t="s">
        <v>10</v>
      </c>
      <c r="F13" s="18"/>
      <c r="G13" s="26">
        <f t="shared" ref="G13:L13" si="4">G434</f>
        <v>6337612.9900000002</v>
      </c>
      <c r="H13" s="26">
        <f t="shared" si="4"/>
        <v>6962200</v>
      </c>
      <c r="I13" s="26">
        <f t="shared" si="4"/>
        <v>6604900</v>
      </c>
      <c r="J13" s="26">
        <f t="shared" si="4"/>
        <v>7237200</v>
      </c>
      <c r="K13" s="26">
        <f t="shared" si="4"/>
        <v>7213200</v>
      </c>
      <c r="L13" s="26">
        <f t="shared" si="4"/>
        <v>7196900</v>
      </c>
    </row>
    <row r="14" spans="1:12" x14ac:dyDescent="0.2">
      <c r="A14" s="11"/>
      <c r="B14" s="17"/>
      <c r="C14" s="12"/>
      <c r="D14" s="12"/>
      <c r="E14" s="25" t="s">
        <v>11</v>
      </c>
      <c r="F14" s="18"/>
      <c r="G14" s="26">
        <f t="shared" ref="G14:L14" si="5">G435+G436</f>
        <v>14142814.860000001</v>
      </c>
      <c r="H14" s="26">
        <f t="shared" si="5"/>
        <v>13074700</v>
      </c>
      <c r="I14" s="26">
        <f t="shared" si="5"/>
        <v>12458300</v>
      </c>
      <c r="J14" s="26">
        <f t="shared" si="5"/>
        <v>11455700</v>
      </c>
      <c r="K14" s="26">
        <f t="shared" si="5"/>
        <v>11632100</v>
      </c>
      <c r="L14" s="26">
        <f t="shared" si="5"/>
        <v>11459100</v>
      </c>
    </row>
    <row r="15" spans="1:12" x14ac:dyDescent="0.2">
      <c r="A15" s="11"/>
      <c r="B15" s="12"/>
      <c r="C15" s="12"/>
      <c r="D15" s="12"/>
      <c r="E15" s="25" t="s">
        <v>12</v>
      </c>
      <c r="F15" s="18"/>
      <c r="G15" s="26">
        <f t="shared" ref="G15:L15" si="6">SUM(G437:G473)</f>
        <v>64201287.319999993</v>
      </c>
      <c r="H15" s="26">
        <f t="shared" si="6"/>
        <v>69412200</v>
      </c>
      <c r="I15" s="26">
        <f t="shared" si="6"/>
        <v>66823600</v>
      </c>
      <c r="J15" s="26">
        <f t="shared" si="6"/>
        <v>67585200</v>
      </c>
      <c r="K15" s="26">
        <f t="shared" si="6"/>
        <v>65170100</v>
      </c>
      <c r="L15" s="26">
        <f t="shared" si="6"/>
        <v>65193500</v>
      </c>
    </row>
    <row r="16" spans="1:12" x14ac:dyDescent="0.2">
      <c r="A16" s="11"/>
      <c r="B16" s="12"/>
      <c r="C16" s="12"/>
      <c r="D16" s="27"/>
      <c r="E16" s="22" t="s">
        <v>13</v>
      </c>
      <c r="F16" s="28"/>
      <c r="G16" s="29">
        <f t="shared" ref="G16:L16" si="7">SUM(G10:G15)</f>
        <v>119676881.69999999</v>
      </c>
      <c r="H16" s="29">
        <f t="shared" si="7"/>
        <v>128238300</v>
      </c>
      <c r="I16" s="29">
        <f t="shared" si="7"/>
        <v>123228500</v>
      </c>
      <c r="J16" s="29">
        <f t="shared" si="7"/>
        <v>126602800</v>
      </c>
      <c r="K16" s="29">
        <f t="shared" si="7"/>
        <v>125997800</v>
      </c>
      <c r="L16" s="29">
        <f t="shared" si="7"/>
        <v>126437700</v>
      </c>
    </row>
    <row r="17" spans="1:12" ht="6.6" customHeight="1" x14ac:dyDescent="0.2">
      <c r="A17" s="11"/>
      <c r="B17" s="12"/>
      <c r="C17" s="12"/>
      <c r="D17" s="12"/>
      <c r="E17" s="18"/>
      <c r="F17" s="18"/>
      <c r="G17" s="19"/>
      <c r="H17" s="19"/>
      <c r="I17" s="19"/>
      <c r="J17" s="19"/>
      <c r="K17" s="19"/>
      <c r="L17" s="19"/>
    </row>
    <row r="18" spans="1:12" ht="13.5" thickBot="1" x14ac:dyDescent="0.25">
      <c r="A18" s="11"/>
      <c r="B18" s="16"/>
      <c r="C18" s="16"/>
      <c r="D18" s="16"/>
      <c r="E18" s="30" t="s">
        <v>14</v>
      </c>
      <c r="F18" s="31"/>
      <c r="G18" s="32">
        <f t="shared" ref="G18:L18" si="8">+G7-G16</f>
        <v>1736023.5799999982</v>
      </c>
      <c r="H18" s="32">
        <f t="shared" si="8"/>
        <v>0</v>
      </c>
      <c r="I18" s="32">
        <f t="shared" si="8"/>
        <v>-1521900</v>
      </c>
      <c r="J18" s="32">
        <f t="shared" si="8"/>
        <v>-660000</v>
      </c>
      <c r="K18" s="32">
        <f t="shared" si="8"/>
        <v>0</v>
      </c>
      <c r="L18" s="32">
        <f t="shared" si="8"/>
        <v>0</v>
      </c>
    </row>
    <row r="19" spans="1:12" ht="9.6" customHeight="1" thickTop="1" x14ac:dyDescent="0.2">
      <c r="A19" s="11"/>
      <c r="B19" s="16"/>
      <c r="C19" s="16"/>
      <c r="D19" s="16"/>
      <c r="E19" s="22"/>
      <c r="F19" s="18"/>
      <c r="G19" s="19"/>
      <c r="H19" s="33"/>
      <c r="I19" s="33"/>
      <c r="J19" s="19"/>
      <c r="K19" s="19"/>
      <c r="L19" s="19"/>
    </row>
    <row r="20" spans="1:12" x14ac:dyDescent="0.2">
      <c r="A20" s="11"/>
      <c r="B20" s="16"/>
      <c r="C20" s="16"/>
      <c r="D20" s="18"/>
      <c r="E20" s="9" t="s">
        <v>15</v>
      </c>
      <c r="F20" s="28"/>
      <c r="G20" s="34">
        <f t="shared" ref="G20:L20" si="9">G98</f>
        <v>33696026.68</v>
      </c>
      <c r="H20" s="34">
        <f t="shared" si="9"/>
        <v>43421800</v>
      </c>
      <c r="I20" s="34">
        <f t="shared" si="9"/>
        <v>57936239</v>
      </c>
      <c r="J20" s="34">
        <f t="shared" si="9"/>
        <v>38767500</v>
      </c>
      <c r="K20" s="34">
        <f t="shared" si="9"/>
        <v>4115900</v>
      </c>
      <c r="L20" s="34">
        <f t="shared" si="9"/>
        <v>0</v>
      </c>
    </row>
    <row r="21" spans="1:12" ht="6.6" customHeight="1" x14ac:dyDescent="0.2">
      <c r="A21" s="11"/>
      <c r="B21" s="16"/>
      <c r="C21" s="16"/>
      <c r="D21" s="18"/>
      <c r="E21" s="9"/>
      <c r="F21" s="28"/>
      <c r="G21" s="35"/>
      <c r="H21" s="34"/>
      <c r="I21" s="34"/>
      <c r="J21" s="34"/>
      <c r="K21" s="34"/>
      <c r="L21" s="34"/>
    </row>
    <row r="22" spans="1:12" x14ac:dyDescent="0.2">
      <c r="A22" s="36"/>
      <c r="B22" s="37"/>
      <c r="C22" s="37"/>
      <c r="D22" s="37"/>
      <c r="E22" s="9" t="s">
        <v>16</v>
      </c>
      <c r="F22" s="38"/>
      <c r="G22" s="39">
        <f t="shared" ref="G22:L22" si="10">G16+G20</f>
        <v>153372908.38</v>
      </c>
      <c r="H22" s="39">
        <f t="shared" si="10"/>
        <v>171660100</v>
      </c>
      <c r="I22" s="39">
        <f t="shared" si="10"/>
        <v>181164739</v>
      </c>
      <c r="J22" s="39">
        <f t="shared" si="10"/>
        <v>165370300</v>
      </c>
      <c r="K22" s="39">
        <f t="shared" si="10"/>
        <v>130113700</v>
      </c>
      <c r="L22" s="39">
        <f t="shared" si="10"/>
        <v>126437700</v>
      </c>
    </row>
    <row r="23" spans="1:12" ht="7.9" customHeight="1" x14ac:dyDescent="0.2">
      <c r="A23" s="36"/>
      <c r="B23" s="37"/>
      <c r="C23" s="37"/>
      <c r="D23" s="37"/>
      <c r="E23" s="37"/>
      <c r="F23" s="38"/>
      <c r="G23" s="40"/>
      <c r="H23" s="41"/>
      <c r="I23" s="41"/>
      <c r="J23" s="41"/>
      <c r="K23" s="41"/>
      <c r="L23" s="41"/>
    </row>
    <row r="24" spans="1:12" ht="15" customHeight="1" x14ac:dyDescent="0.2">
      <c r="A24" s="36"/>
      <c r="B24" s="37"/>
      <c r="C24" s="37"/>
      <c r="D24" s="37"/>
      <c r="E24" s="42" t="s">
        <v>17</v>
      </c>
      <c r="F24" s="42"/>
      <c r="G24" s="42"/>
      <c r="H24" s="42"/>
      <c r="I24" s="42"/>
      <c r="J24" s="42"/>
      <c r="K24" s="42"/>
      <c r="L24" s="42"/>
    </row>
    <row r="25" spans="1:12" ht="34.5" thickBot="1" x14ac:dyDescent="0.25">
      <c r="A25" s="36"/>
      <c r="B25" s="43"/>
      <c r="C25" s="43"/>
      <c r="D25" s="44" t="s">
        <v>18</v>
      </c>
      <c r="E25" s="43"/>
      <c r="F25" s="43"/>
      <c r="G25" s="15" t="str">
        <f t="shared" ref="G25:L25" si="11">G3</f>
        <v>Actuals           2014-2015</v>
      </c>
      <c r="H25" s="15" t="str">
        <f t="shared" si="11"/>
        <v>Approved Estimates          2015-2016</v>
      </c>
      <c r="I25" s="15" t="str">
        <f t="shared" si="11"/>
        <v>Revised Estimates                 2015-2016</v>
      </c>
      <c r="J25" s="15" t="str">
        <f t="shared" si="11"/>
        <v>Budget Estimates      2016-2017</v>
      </c>
      <c r="K25" s="15" t="str">
        <f t="shared" si="11"/>
        <v>Forward Estimates     2017-2018</v>
      </c>
      <c r="L25" s="15" t="str">
        <f t="shared" si="11"/>
        <v>Forward Estimates     2018-2019</v>
      </c>
    </row>
    <row r="26" spans="1:12" x14ac:dyDescent="0.2">
      <c r="A26" s="36"/>
      <c r="B26" s="37">
        <v>110</v>
      </c>
      <c r="C26" s="37"/>
      <c r="D26" s="45" t="s">
        <v>19</v>
      </c>
      <c r="E26" s="38"/>
      <c r="F26" s="38"/>
      <c r="G26" s="46">
        <f>SUMIF('05'!$A:$A,$B26,'05'!E:E)+SUMIF('07'!$A:$A,$B26,'07'!E:E)+SUMIF('08'!$A:$A,$B26,'08'!E:E)+SUMIF('09'!$A:$A,$B26,'09'!E:E)+SUMIF('10'!$A:$A,$B26,'10'!E:E)+SUMIF('11'!$A:$A,$B26,'11'!E:E)+SUMIF('12'!$A:$A,$B26,'12'!E:E)+SUMIF('13'!$A:$A,$B26,'13'!E:E)+SUMIF('15'!$A:$A,$B26,'15'!E:E)+SUMIF('17'!$A:$A,$B26,'17'!E:E)+SUMIF('20'!$A:$A,$B26,'20'!E:E)+SUMIF('30'!$A:$A,$B26,'30'!E:E)+SUMIF('35'!$A:$A,$B26,'35'!E:E)+SUMIF('40'!$A:$A,$B26,'40'!E:E)+SUMIF('45'!$A:$A,$B26,'45'!E:E)</f>
        <v>15744100.66</v>
      </c>
      <c r="H26" s="46">
        <f>SUMIF('05'!$A:$A,$B26,'05'!F:F)+SUMIF('07'!$A:$A,$B26,'07'!F:F)+SUMIF('08'!$A:$A,$B26,'08'!F:F)+SUMIF('09'!$A:$A,$B26,'09'!F:F)+SUMIF('10'!$A:$A,$B26,'10'!F:F)+SUMIF('11'!$A:$A,$B26,'11'!F:F)+SUMIF('12'!$A:$A,$B26,'12'!F:F)+SUMIF('13'!$A:$A,$B26,'13'!F:F)+SUMIF('15'!$A:$A,$B26,'15'!F:F)+SUMIF('17'!$A:$A,$B26,'17'!F:F)+SUMIF('20'!$A:$A,$B26,'20'!F:F)+SUMIF('30'!$A:$A,$B26,'30'!F:F)+SUMIF('35'!$A:$A,$B26,'35'!F:F)+SUMIF('40'!$A:$A,$B26,'40'!F:F)+SUMIF('45'!$A:$A,$B26,'45'!F:F)</f>
        <v>16076000</v>
      </c>
      <c r="I26" s="46">
        <f>SUMIF('05'!$A:$A,$B26,'05'!G:G)+SUMIF('07'!$A:$A,$B26,'07'!G:G)+SUMIF('08'!$A:$A,$B26,'08'!G:G)+SUMIF('09'!$A:$A,$B26,'09'!G:G)+SUMIF('10'!$A:$A,$B26,'10'!G:G)+SUMIF('11'!$A:$A,$B26,'11'!G:G)+SUMIF('12'!$A:$A,$B26,'12'!G:G)+SUMIF('13'!$A:$A,$B26,'13'!G:G)+SUMIF('15'!$A:$A,$B26,'15'!G:G)+SUMIF('17'!$A:$A,$B26,'17'!G:G)+SUMIF('20'!$A:$A,$B26,'20'!G:G)+SUMIF('30'!$A:$A,$B26,'30'!G:G)+SUMIF('35'!$A:$A,$B26,'35'!G:G)+SUMIF('40'!$A:$A,$B26,'40'!G:G)+SUMIF('45'!$A:$A,$B26,'45'!G:G)</f>
        <v>15614700</v>
      </c>
      <c r="J26" s="46">
        <f>SUMIF('05'!$A:$A,$B26,'05'!H:H)+SUMIF('07'!$A:$A,$B26,'07'!H:H)+SUMIF('08'!$A:$A,$B26,'08'!H:H)+SUMIF('09'!$A:$A,$B26,'09'!H:H)+SUMIF('10'!$A:$A,$B26,'10'!H:H)+SUMIF('11'!$A:$A,$B26,'11'!H:H)+SUMIF('12'!$A:$A,$B26,'12'!H:H)+SUMIF('13'!$A:$A,$B26,'13'!H:H)+SUMIF('15'!$A:$A,$B26,'15'!H:H)+SUMIF('17'!$A:$A,$B26,'17'!H:H)+SUMIF('20'!$A:$A,$B26,'20'!H:H)+SUMIF('30'!$A:$A,$B26,'30'!H:H)+SUMIF('35'!$A:$A,$B26,'35'!H:H)+SUMIF('40'!$A:$A,$B26,'40'!H:H)+SUMIF('45'!$A:$A,$B26,'45'!H:H)</f>
        <v>16347000</v>
      </c>
      <c r="K26" s="46">
        <f>SUMIF('05'!$A:$A,$B26,'05'!I:I)+SUMIF('07'!$A:$A,$B26,'07'!I:I)+SUMIF('08'!$A:$A,$B26,'08'!I:I)+SUMIF('09'!$A:$A,$B26,'09'!I:I)+SUMIF('10'!$A:$A,$B26,'10'!I:I)+SUMIF('11'!$A:$A,$B26,'11'!I:I)+SUMIF('12'!$A:$A,$B26,'12'!I:I)+SUMIF('13'!$A:$A,$B26,'13'!I:I)+SUMIF('15'!$A:$A,$B26,'15'!I:I)+SUMIF('17'!$A:$A,$B26,'17'!I:I)+SUMIF('20'!$A:$A,$B26,'20'!I:I)+SUMIF('30'!$A:$A,$B26,'30'!I:I)+SUMIF('35'!$A:$A,$B26,'35'!I:I)+SUMIF('40'!$A:$A,$B26,'40'!I:I)+SUMIF('45'!$A:$A,$B26,'45'!I:I)</f>
        <v>16674800</v>
      </c>
      <c r="L26" s="46">
        <f>SUMIF('05'!$A:$A,$B26,'05'!J:J)+SUMIF('07'!$A:$A,$B26,'07'!J:J)+SUMIF('08'!$A:$A,$B26,'08'!J:J)+SUMIF('09'!$A:$A,$B26,'09'!J:J)+SUMIF('10'!$A:$A,$B26,'10'!J:J)+SUMIF('11'!$A:$A,$B26,'11'!J:J)+SUMIF('12'!$A:$A,$B26,'12'!J:J)+SUMIF('13'!$A:$A,$B26,'13'!J:J)+SUMIF('15'!$A:$A,$B26,'15'!J:J)+SUMIF('17'!$A:$A,$B26,'17'!J:J)+SUMIF('20'!$A:$A,$B26,'20'!J:J)+SUMIF('30'!$A:$A,$B26,'30'!J:J)+SUMIF('35'!$A:$A,$B26,'35'!J:J)+SUMIF('40'!$A:$A,$B26,'40'!J:J)+SUMIF('45'!$A:$A,$B26,'45'!J:J)</f>
        <v>17021300</v>
      </c>
    </row>
    <row r="27" spans="1:12" x14ac:dyDescent="0.2">
      <c r="A27" s="36"/>
      <c r="B27" s="37">
        <v>115</v>
      </c>
      <c r="C27" s="37"/>
      <c r="D27" s="45" t="s">
        <v>20</v>
      </c>
      <c r="E27" s="38"/>
      <c r="F27" s="38"/>
      <c r="G27" s="46">
        <f>SUMIF('05'!$A:$A,$B27,'05'!E:E)+SUMIF('07'!$A:$A,$B27,'07'!E:E)+SUMIF('08'!$A:$A,$B27,'08'!E:E)+SUMIF('09'!$A:$A,$B27,'09'!E:E)+SUMIF('10'!$A:$A,$B27,'10'!E:E)+SUMIF('11'!$A:$A,$B27,'11'!E:E)+SUMIF('12'!$A:$A,$B27,'12'!E:E)+SUMIF('13'!$A:$A,$B27,'13'!E:E)+SUMIF('15'!$A:$A,$B27,'15'!E:E)+SUMIF('17'!$A:$A,$B27,'17'!E:E)+SUMIF('20'!$A:$A,$B27,'20'!E:E)+SUMIF('30'!$A:$A,$B27,'30'!E:E)+SUMIF('35'!$A:$A,$B27,'35'!E:E)+SUMIF('40'!$A:$A,$B27,'40'!E:E)+SUMIF('45'!$A:$A,$B27,'45'!E:E)</f>
        <v>708911.77999999991</v>
      </c>
      <c r="H27" s="46">
        <f>SUMIF('05'!$A:$A,$B27,'05'!F:F)+SUMIF('07'!$A:$A,$B27,'07'!F:F)+SUMIF('08'!$A:$A,$B27,'08'!F:F)+SUMIF('09'!$A:$A,$B27,'09'!F:F)+SUMIF('10'!$A:$A,$B27,'10'!F:F)+SUMIF('11'!$A:$A,$B27,'11'!F:F)+SUMIF('12'!$A:$A,$B27,'12'!F:F)+SUMIF('13'!$A:$A,$B27,'13'!F:F)+SUMIF('15'!$A:$A,$B27,'15'!F:F)+SUMIF('17'!$A:$A,$B27,'17'!F:F)+SUMIF('20'!$A:$A,$B27,'20'!F:F)+SUMIF('30'!$A:$A,$B27,'30'!F:F)+SUMIF('35'!$A:$A,$B27,'35'!F:F)+SUMIF('40'!$A:$A,$B27,'40'!F:F)+SUMIF('45'!$A:$A,$B27,'45'!F:F)</f>
        <v>910000</v>
      </c>
      <c r="I27" s="46">
        <f>SUMIF('05'!$A:$A,$B27,'05'!G:G)+SUMIF('07'!$A:$A,$B27,'07'!G:G)+SUMIF('08'!$A:$A,$B27,'08'!G:G)+SUMIF('09'!$A:$A,$B27,'09'!G:G)+SUMIF('10'!$A:$A,$B27,'10'!G:G)+SUMIF('11'!$A:$A,$B27,'11'!G:G)+SUMIF('12'!$A:$A,$B27,'12'!G:G)+SUMIF('13'!$A:$A,$B27,'13'!G:G)+SUMIF('15'!$A:$A,$B27,'15'!G:G)+SUMIF('17'!$A:$A,$B27,'17'!G:G)+SUMIF('20'!$A:$A,$B27,'20'!G:G)+SUMIF('30'!$A:$A,$B27,'30'!G:G)+SUMIF('35'!$A:$A,$B27,'35'!G:G)+SUMIF('40'!$A:$A,$B27,'40'!G:G)+SUMIF('45'!$A:$A,$B27,'45'!G:G)</f>
        <v>737800</v>
      </c>
      <c r="J27" s="46">
        <f>SUMIF('05'!$A:$A,$B27,'05'!H:H)+SUMIF('07'!$A:$A,$B27,'07'!H:H)+SUMIF('08'!$A:$A,$B27,'08'!H:H)+SUMIF('09'!$A:$A,$B27,'09'!H:H)+SUMIF('10'!$A:$A,$B27,'10'!H:H)+SUMIF('11'!$A:$A,$B27,'11'!H:H)+SUMIF('12'!$A:$A,$B27,'12'!H:H)+SUMIF('13'!$A:$A,$B27,'13'!H:H)+SUMIF('15'!$A:$A,$B27,'15'!H:H)+SUMIF('17'!$A:$A,$B27,'17'!H:H)+SUMIF('20'!$A:$A,$B27,'20'!H:H)+SUMIF('30'!$A:$A,$B27,'30'!H:H)+SUMIF('35'!$A:$A,$B27,'35'!H:H)+SUMIF('40'!$A:$A,$B27,'40'!H:H)+SUMIF('45'!$A:$A,$B27,'45'!H:H)</f>
        <v>920000</v>
      </c>
      <c r="K27" s="46">
        <f>SUMIF('05'!$A:$A,$B27,'05'!I:I)+SUMIF('07'!$A:$A,$B27,'07'!I:I)+SUMIF('08'!$A:$A,$B27,'08'!I:I)+SUMIF('09'!$A:$A,$B27,'09'!I:I)+SUMIF('10'!$A:$A,$B27,'10'!I:I)+SUMIF('11'!$A:$A,$B27,'11'!I:I)+SUMIF('12'!$A:$A,$B27,'12'!I:I)+SUMIF('13'!$A:$A,$B27,'13'!I:I)+SUMIF('15'!$A:$A,$B27,'15'!I:I)+SUMIF('17'!$A:$A,$B27,'17'!I:I)+SUMIF('20'!$A:$A,$B27,'20'!I:I)+SUMIF('30'!$A:$A,$B27,'30'!I:I)+SUMIF('35'!$A:$A,$B27,'35'!I:I)+SUMIF('40'!$A:$A,$B27,'40'!I:I)+SUMIF('45'!$A:$A,$B27,'45'!I:I)</f>
        <v>930000</v>
      </c>
      <c r="L27" s="46">
        <f>SUMIF('05'!$A:$A,$B27,'05'!J:J)+SUMIF('07'!$A:$A,$B27,'07'!J:J)+SUMIF('08'!$A:$A,$B27,'08'!J:J)+SUMIF('09'!$A:$A,$B27,'09'!J:J)+SUMIF('10'!$A:$A,$B27,'10'!J:J)+SUMIF('11'!$A:$A,$B27,'11'!J:J)+SUMIF('12'!$A:$A,$B27,'12'!J:J)+SUMIF('13'!$A:$A,$B27,'13'!J:J)+SUMIF('15'!$A:$A,$B27,'15'!J:J)+SUMIF('17'!$A:$A,$B27,'17'!J:J)+SUMIF('20'!$A:$A,$B27,'20'!J:J)+SUMIF('30'!$A:$A,$B27,'30'!J:J)+SUMIF('35'!$A:$A,$B27,'35'!J:J)+SUMIF('40'!$A:$A,$B27,'40'!J:J)+SUMIF('45'!$A:$A,$B27,'45'!J:J)</f>
        <v>930000</v>
      </c>
    </row>
    <row r="28" spans="1:12" x14ac:dyDescent="0.2">
      <c r="A28" s="36"/>
      <c r="B28" s="37">
        <v>120</v>
      </c>
      <c r="C28" s="37"/>
      <c r="D28" s="45" t="s">
        <v>21</v>
      </c>
      <c r="E28" s="38"/>
      <c r="F28" s="38"/>
      <c r="G28" s="46">
        <f>SUMIF('05'!$A:$A,$B28,'05'!E:E)+SUMIF('07'!$A:$A,$B28,'07'!E:E)+SUMIF('08'!$A:$A,$B28,'08'!E:E)+SUMIF('09'!$A:$A,$B28,'09'!E:E)+SUMIF('10'!$A:$A,$B28,'10'!E:E)+SUMIF('11'!$A:$A,$B28,'11'!E:E)+SUMIF('12'!$A:$A,$B28,'12'!E:E)+SUMIF('13'!$A:$A,$B28,'13'!E:E)+SUMIF('15'!$A:$A,$B28,'15'!E:E)+SUMIF('17'!$A:$A,$B28,'17'!E:E)+SUMIF('20'!$A:$A,$B28,'20'!E:E)+SUMIF('30'!$A:$A,$B28,'30'!E:E)+SUMIF('35'!$A:$A,$B28,'35'!E:E)+SUMIF('40'!$A:$A,$B28,'40'!E:E)+SUMIF('45'!$A:$A,$B28,'45'!E:E)</f>
        <v>1617501.69</v>
      </c>
      <c r="H28" s="46">
        <f>SUMIF('05'!$A:$A,$B28,'05'!F:F)+SUMIF('07'!$A:$A,$B28,'07'!F:F)+SUMIF('08'!$A:$A,$B28,'08'!F:F)+SUMIF('09'!$A:$A,$B28,'09'!F:F)+SUMIF('10'!$A:$A,$B28,'10'!F:F)+SUMIF('11'!$A:$A,$B28,'11'!F:F)+SUMIF('12'!$A:$A,$B28,'12'!F:F)+SUMIF('13'!$A:$A,$B28,'13'!F:F)+SUMIF('15'!$A:$A,$B28,'15'!F:F)+SUMIF('17'!$A:$A,$B28,'17'!F:F)+SUMIF('20'!$A:$A,$B28,'20'!F:F)+SUMIF('30'!$A:$A,$B28,'30'!F:F)+SUMIF('35'!$A:$A,$B28,'35'!F:F)+SUMIF('40'!$A:$A,$B28,'40'!F:F)+SUMIF('45'!$A:$A,$B28,'45'!F:F)</f>
        <v>2004600</v>
      </c>
      <c r="I28" s="46">
        <f>SUMIF('05'!$A:$A,$B28,'05'!G:G)+SUMIF('07'!$A:$A,$B28,'07'!G:G)+SUMIF('08'!$A:$A,$B28,'08'!G:G)+SUMIF('09'!$A:$A,$B28,'09'!G:G)+SUMIF('10'!$A:$A,$B28,'10'!G:G)+SUMIF('11'!$A:$A,$B28,'11'!G:G)+SUMIF('12'!$A:$A,$B28,'12'!G:G)+SUMIF('13'!$A:$A,$B28,'13'!G:G)+SUMIF('15'!$A:$A,$B28,'15'!G:G)+SUMIF('17'!$A:$A,$B28,'17'!G:G)+SUMIF('20'!$A:$A,$B28,'20'!G:G)+SUMIF('30'!$A:$A,$B28,'30'!G:G)+SUMIF('35'!$A:$A,$B28,'35'!G:G)+SUMIF('40'!$A:$A,$B28,'40'!G:G)+SUMIF('45'!$A:$A,$B28,'45'!G:G)</f>
        <v>1925200</v>
      </c>
      <c r="J28" s="46">
        <f>SUMIF('05'!$A:$A,$B28,'05'!H:H)+SUMIF('07'!$A:$A,$B28,'07'!H:H)+SUMIF('08'!$A:$A,$B28,'08'!H:H)+SUMIF('09'!$A:$A,$B28,'09'!H:H)+SUMIF('10'!$A:$A,$B28,'10'!H:H)+SUMIF('11'!$A:$A,$B28,'11'!H:H)+SUMIF('12'!$A:$A,$B28,'12'!H:H)+SUMIF('13'!$A:$A,$B28,'13'!H:H)+SUMIF('15'!$A:$A,$B28,'15'!H:H)+SUMIF('17'!$A:$A,$B28,'17'!H:H)+SUMIF('20'!$A:$A,$B28,'20'!H:H)+SUMIF('30'!$A:$A,$B28,'30'!H:H)+SUMIF('35'!$A:$A,$B28,'35'!H:H)+SUMIF('40'!$A:$A,$B28,'40'!H:H)+SUMIF('45'!$A:$A,$B28,'45'!H:H)</f>
        <v>2041600</v>
      </c>
      <c r="K28" s="46">
        <f>SUMIF('05'!$A:$A,$B28,'05'!I:I)+SUMIF('07'!$A:$A,$B28,'07'!I:I)+SUMIF('08'!$A:$A,$B28,'08'!I:I)+SUMIF('09'!$A:$A,$B28,'09'!I:I)+SUMIF('10'!$A:$A,$B28,'10'!I:I)+SUMIF('11'!$A:$A,$B28,'11'!I:I)+SUMIF('12'!$A:$A,$B28,'12'!I:I)+SUMIF('13'!$A:$A,$B28,'13'!I:I)+SUMIF('15'!$A:$A,$B28,'15'!I:I)+SUMIF('17'!$A:$A,$B28,'17'!I:I)+SUMIF('20'!$A:$A,$B28,'20'!I:I)+SUMIF('30'!$A:$A,$B28,'30'!I:I)+SUMIF('35'!$A:$A,$B28,'35'!I:I)+SUMIF('40'!$A:$A,$B28,'40'!I:I)+SUMIF('45'!$A:$A,$B28,'45'!I:I)</f>
        <v>2081400</v>
      </c>
      <c r="L28" s="46">
        <f>SUMIF('05'!$A:$A,$B28,'05'!J:J)+SUMIF('07'!$A:$A,$B28,'07'!J:J)+SUMIF('08'!$A:$A,$B28,'08'!J:J)+SUMIF('09'!$A:$A,$B28,'09'!J:J)+SUMIF('10'!$A:$A,$B28,'10'!J:J)+SUMIF('11'!$A:$A,$B28,'11'!J:J)+SUMIF('12'!$A:$A,$B28,'12'!J:J)+SUMIF('13'!$A:$A,$B28,'13'!J:J)+SUMIF('15'!$A:$A,$B28,'15'!J:J)+SUMIF('17'!$A:$A,$B28,'17'!J:J)+SUMIF('20'!$A:$A,$B28,'20'!J:J)+SUMIF('30'!$A:$A,$B28,'30'!J:J)+SUMIF('35'!$A:$A,$B28,'35'!J:J)+SUMIF('40'!$A:$A,$B28,'40'!J:J)+SUMIF('45'!$A:$A,$B28,'45'!J:J)</f>
        <v>2092200</v>
      </c>
    </row>
    <row r="29" spans="1:12" x14ac:dyDescent="0.2">
      <c r="A29" s="36"/>
      <c r="B29" s="37">
        <v>122</v>
      </c>
      <c r="C29" s="37"/>
      <c r="D29" s="45" t="s">
        <v>22</v>
      </c>
      <c r="E29" s="38"/>
      <c r="F29" s="38"/>
      <c r="G29" s="46">
        <f>SUMIF('05'!$A:$A,$B29,'05'!E:E)+SUMIF('07'!$A:$A,$B29,'07'!E:E)+SUMIF('08'!$A:$A,$B29,'08'!E:E)+SUMIF('09'!$A:$A,$B29,'09'!E:E)+SUMIF('10'!$A:$A,$B29,'10'!E:E)+SUMIF('11'!$A:$A,$B29,'11'!E:E)+SUMIF('12'!$A:$A,$B29,'12'!E:E)+SUMIF('13'!$A:$A,$B29,'13'!E:E)+SUMIF('15'!$A:$A,$B29,'15'!E:E)+SUMIF('17'!$A:$A,$B29,'17'!E:E)+SUMIF('20'!$A:$A,$B29,'20'!E:E)+SUMIF('30'!$A:$A,$B29,'30'!E:E)+SUMIF('35'!$A:$A,$B29,'35'!E:E)+SUMIF('40'!$A:$A,$B29,'40'!E:E)+SUMIF('45'!$A:$A,$B29,'45'!E:E)</f>
        <v>2863782.79</v>
      </c>
      <c r="H29" s="46">
        <f>SUMIF('05'!$A:$A,$B29,'05'!F:F)+SUMIF('07'!$A:$A,$B29,'07'!F:F)+SUMIF('08'!$A:$A,$B29,'08'!F:F)+SUMIF('09'!$A:$A,$B29,'09'!F:F)+SUMIF('10'!$A:$A,$B29,'10'!F:F)+SUMIF('11'!$A:$A,$B29,'11'!F:F)+SUMIF('12'!$A:$A,$B29,'12'!F:F)+SUMIF('13'!$A:$A,$B29,'13'!F:F)+SUMIF('15'!$A:$A,$B29,'15'!F:F)+SUMIF('17'!$A:$A,$B29,'17'!F:F)+SUMIF('20'!$A:$A,$B29,'20'!F:F)+SUMIF('30'!$A:$A,$B29,'30'!F:F)+SUMIF('35'!$A:$A,$B29,'35'!F:F)+SUMIF('40'!$A:$A,$B29,'40'!F:F)+SUMIF('45'!$A:$A,$B29,'45'!F:F)</f>
        <v>4075600</v>
      </c>
      <c r="I29" s="46">
        <f>SUMIF('05'!$A:$A,$B29,'05'!G:G)+SUMIF('07'!$A:$A,$B29,'07'!G:G)+SUMIF('08'!$A:$A,$B29,'08'!G:G)+SUMIF('09'!$A:$A,$B29,'09'!G:G)+SUMIF('10'!$A:$A,$B29,'10'!G:G)+SUMIF('11'!$A:$A,$B29,'11'!G:G)+SUMIF('12'!$A:$A,$B29,'12'!G:G)+SUMIF('13'!$A:$A,$B29,'13'!G:G)+SUMIF('15'!$A:$A,$B29,'15'!G:G)+SUMIF('17'!$A:$A,$B29,'17'!G:G)+SUMIF('20'!$A:$A,$B29,'20'!G:G)+SUMIF('30'!$A:$A,$B29,'30'!G:G)+SUMIF('35'!$A:$A,$B29,'35'!G:G)+SUMIF('40'!$A:$A,$B29,'40'!G:G)+SUMIF('45'!$A:$A,$B29,'45'!G:G)</f>
        <v>2563200</v>
      </c>
      <c r="J29" s="46">
        <f>SUMIF('05'!$A:$A,$B29,'05'!H:H)+SUMIF('07'!$A:$A,$B29,'07'!H:H)+SUMIF('08'!$A:$A,$B29,'08'!H:H)+SUMIF('09'!$A:$A,$B29,'09'!H:H)+SUMIF('10'!$A:$A,$B29,'10'!H:H)+SUMIF('11'!$A:$A,$B29,'11'!H:H)+SUMIF('12'!$A:$A,$B29,'12'!H:H)+SUMIF('13'!$A:$A,$B29,'13'!H:H)+SUMIF('15'!$A:$A,$B29,'15'!H:H)+SUMIF('17'!$A:$A,$B29,'17'!H:H)+SUMIF('20'!$A:$A,$B29,'20'!H:H)+SUMIF('30'!$A:$A,$B29,'30'!H:H)+SUMIF('35'!$A:$A,$B29,'35'!H:H)+SUMIF('40'!$A:$A,$B29,'40'!H:H)+SUMIF('45'!$A:$A,$B29,'45'!H:H)</f>
        <v>2932700</v>
      </c>
      <c r="K29" s="46">
        <f>SUMIF('05'!$A:$A,$B29,'05'!I:I)+SUMIF('07'!$A:$A,$B29,'07'!I:I)+SUMIF('08'!$A:$A,$B29,'08'!I:I)+SUMIF('09'!$A:$A,$B29,'09'!I:I)+SUMIF('10'!$A:$A,$B29,'10'!I:I)+SUMIF('11'!$A:$A,$B29,'11'!I:I)+SUMIF('12'!$A:$A,$B29,'12'!I:I)+SUMIF('13'!$A:$A,$B29,'13'!I:I)+SUMIF('15'!$A:$A,$B29,'15'!I:I)+SUMIF('17'!$A:$A,$B29,'17'!I:I)+SUMIF('20'!$A:$A,$B29,'20'!I:I)+SUMIF('30'!$A:$A,$B29,'30'!I:I)+SUMIF('35'!$A:$A,$B29,'35'!I:I)+SUMIF('40'!$A:$A,$B29,'40'!I:I)+SUMIF('45'!$A:$A,$B29,'45'!I:I)</f>
        <v>2929200</v>
      </c>
      <c r="L29" s="46">
        <f>SUMIF('05'!$A:$A,$B29,'05'!J:J)+SUMIF('07'!$A:$A,$B29,'07'!J:J)+SUMIF('08'!$A:$A,$B29,'08'!J:J)+SUMIF('09'!$A:$A,$B29,'09'!J:J)+SUMIF('10'!$A:$A,$B29,'10'!J:J)+SUMIF('11'!$A:$A,$B29,'11'!J:J)+SUMIF('12'!$A:$A,$B29,'12'!J:J)+SUMIF('13'!$A:$A,$B29,'13'!J:J)+SUMIF('15'!$A:$A,$B29,'15'!J:J)+SUMIF('17'!$A:$A,$B29,'17'!J:J)+SUMIF('20'!$A:$A,$B29,'20'!J:J)+SUMIF('30'!$A:$A,$B29,'30'!J:J)+SUMIF('35'!$A:$A,$B29,'35'!J:J)+SUMIF('40'!$A:$A,$B29,'40'!J:J)+SUMIF('45'!$A:$A,$B29,'45'!J:J)</f>
        <v>2925700</v>
      </c>
    </row>
    <row r="30" spans="1:12" x14ac:dyDescent="0.2">
      <c r="A30" s="36"/>
      <c r="B30" s="37">
        <v>125</v>
      </c>
      <c r="C30" s="37"/>
      <c r="D30" s="45" t="s">
        <v>23</v>
      </c>
      <c r="E30" s="38"/>
      <c r="F30" s="38"/>
      <c r="G30" s="46">
        <f>SUMIF('05'!$A:$A,$B30,'05'!E:E)+SUMIF('07'!$A:$A,$B30,'07'!E:E)+SUMIF('08'!$A:$A,$B30,'08'!E:E)+SUMIF('09'!$A:$A,$B30,'09'!E:E)+SUMIF('10'!$A:$A,$B30,'10'!E:E)+SUMIF('11'!$A:$A,$B30,'11'!E:E)+SUMIF('12'!$A:$A,$B30,'12'!E:E)+SUMIF('13'!$A:$A,$B30,'13'!E:E)+SUMIF('15'!$A:$A,$B30,'15'!E:E)+SUMIF('17'!$A:$A,$B30,'17'!E:E)+SUMIF('20'!$A:$A,$B30,'20'!E:E)+SUMIF('30'!$A:$A,$B30,'30'!E:E)+SUMIF('35'!$A:$A,$B30,'35'!E:E)+SUMIF('40'!$A:$A,$B30,'40'!E:E)+SUMIF('45'!$A:$A,$B30,'45'!E:E)</f>
        <v>18210570.830000002</v>
      </c>
      <c r="H30" s="46">
        <f>SUMIF('05'!$A:$A,$B30,'05'!F:F)+SUMIF('07'!$A:$A,$B30,'07'!F:F)+SUMIF('08'!$A:$A,$B30,'08'!F:F)+SUMIF('09'!$A:$A,$B30,'09'!F:F)+SUMIF('10'!$A:$A,$B30,'10'!F:F)+SUMIF('11'!$A:$A,$B30,'11'!F:F)+SUMIF('12'!$A:$A,$B30,'12'!F:F)+SUMIF('13'!$A:$A,$B30,'13'!F:F)+SUMIF('15'!$A:$A,$B30,'15'!F:F)+SUMIF('17'!$A:$A,$B30,'17'!F:F)+SUMIF('20'!$A:$A,$B30,'20'!F:F)+SUMIF('30'!$A:$A,$B30,'30'!F:F)+SUMIF('35'!$A:$A,$B30,'35'!F:F)+SUMIF('40'!$A:$A,$B30,'40'!F:F)+SUMIF('45'!$A:$A,$B30,'45'!F:F)</f>
        <v>18436300</v>
      </c>
      <c r="I30" s="46">
        <f>SUMIF('05'!$A:$A,$B30,'05'!G:G)+SUMIF('07'!$A:$A,$B30,'07'!G:G)+SUMIF('08'!$A:$A,$B30,'08'!G:G)+SUMIF('09'!$A:$A,$B30,'09'!G:G)+SUMIF('10'!$A:$A,$B30,'10'!G:G)+SUMIF('11'!$A:$A,$B30,'11'!G:G)+SUMIF('12'!$A:$A,$B30,'12'!G:G)+SUMIF('13'!$A:$A,$B30,'13'!G:G)+SUMIF('15'!$A:$A,$B30,'15'!G:G)+SUMIF('17'!$A:$A,$B30,'17'!G:G)+SUMIF('20'!$A:$A,$B30,'20'!G:G)+SUMIF('30'!$A:$A,$B30,'30'!G:G)+SUMIF('35'!$A:$A,$B30,'35'!G:G)+SUMIF('40'!$A:$A,$B30,'40'!G:G)+SUMIF('45'!$A:$A,$B30,'45'!G:G)</f>
        <v>18195800</v>
      </c>
      <c r="J30" s="46">
        <f>SUMIF('05'!$A:$A,$B30,'05'!H:H)+SUMIF('07'!$A:$A,$B30,'07'!H:H)+SUMIF('08'!$A:$A,$B30,'08'!H:H)+SUMIF('09'!$A:$A,$B30,'09'!H:H)+SUMIF('10'!$A:$A,$B30,'10'!H:H)+SUMIF('11'!$A:$A,$B30,'11'!H:H)+SUMIF('12'!$A:$A,$B30,'12'!H:H)+SUMIF('13'!$A:$A,$B30,'13'!H:H)+SUMIF('15'!$A:$A,$B30,'15'!H:H)+SUMIF('17'!$A:$A,$B30,'17'!H:H)+SUMIF('20'!$A:$A,$B30,'20'!H:H)+SUMIF('30'!$A:$A,$B30,'30'!H:H)+SUMIF('35'!$A:$A,$B30,'35'!H:H)+SUMIF('40'!$A:$A,$B30,'40'!H:H)+SUMIF('45'!$A:$A,$B30,'45'!H:H)</f>
        <v>18767500</v>
      </c>
      <c r="K30" s="46">
        <f>SUMIF('05'!$A:$A,$B30,'05'!I:I)+SUMIF('07'!$A:$A,$B30,'07'!I:I)+SUMIF('08'!$A:$A,$B30,'08'!I:I)+SUMIF('09'!$A:$A,$B30,'09'!I:I)+SUMIF('10'!$A:$A,$B30,'10'!I:I)+SUMIF('11'!$A:$A,$B30,'11'!I:I)+SUMIF('12'!$A:$A,$B30,'12'!I:I)+SUMIF('13'!$A:$A,$B30,'13'!I:I)+SUMIF('15'!$A:$A,$B30,'15'!I:I)+SUMIF('17'!$A:$A,$B30,'17'!I:I)+SUMIF('20'!$A:$A,$B30,'20'!I:I)+SUMIF('30'!$A:$A,$B30,'30'!I:I)+SUMIF('35'!$A:$A,$B30,'35'!I:I)+SUMIF('40'!$A:$A,$B30,'40'!I:I)+SUMIF('45'!$A:$A,$B30,'45'!I:I)</f>
        <v>19150400</v>
      </c>
      <c r="L30" s="46">
        <f>SUMIF('05'!$A:$A,$B30,'05'!J:J)+SUMIF('07'!$A:$A,$B30,'07'!J:J)+SUMIF('08'!$A:$A,$B30,'08'!J:J)+SUMIF('09'!$A:$A,$B30,'09'!J:J)+SUMIF('10'!$A:$A,$B30,'10'!J:J)+SUMIF('11'!$A:$A,$B30,'11'!J:J)+SUMIF('12'!$A:$A,$B30,'12'!J:J)+SUMIF('13'!$A:$A,$B30,'13'!J:J)+SUMIF('15'!$A:$A,$B30,'15'!J:J)+SUMIF('17'!$A:$A,$B30,'17'!J:J)+SUMIF('20'!$A:$A,$B30,'20'!J:J)+SUMIF('30'!$A:$A,$B30,'30'!J:J)+SUMIF('35'!$A:$A,$B30,'35'!J:J)+SUMIF('40'!$A:$A,$B30,'40'!J:J)+SUMIF('45'!$A:$A,$B30,'45'!J:J)</f>
        <v>19546200</v>
      </c>
    </row>
    <row r="31" spans="1:12" x14ac:dyDescent="0.2">
      <c r="A31" s="36"/>
      <c r="B31" s="37">
        <v>129</v>
      </c>
      <c r="C31" s="37"/>
      <c r="D31" s="45" t="s">
        <v>24</v>
      </c>
      <c r="E31" s="38"/>
      <c r="F31" s="38"/>
      <c r="G31" s="46">
        <f>SUMIF('05'!$A:$A,$B31,'05'!E:E)+SUMIF('07'!$A:$A,$B31,'07'!E:E)+SUMIF('08'!$A:$A,$B31,'08'!E:E)+SUMIF('09'!$A:$A,$B31,'09'!E:E)+SUMIF('10'!$A:$A,$B31,'10'!E:E)+SUMIF('11'!$A:$A,$B31,'11'!E:E)+SUMIF('12'!$A:$A,$B31,'12'!E:E)+SUMIF('13'!$A:$A,$B31,'13'!E:E)+SUMIF('15'!$A:$A,$B31,'15'!E:E)+SUMIF('17'!$A:$A,$B31,'17'!E:E)+SUMIF('20'!$A:$A,$B31,'20'!E:E)+SUMIF('30'!$A:$A,$B31,'30'!E:E)+SUMIF('35'!$A:$A,$B31,'35'!E:E)+SUMIF('40'!$A:$A,$B31,'40'!E:E)+SUMIF('45'!$A:$A,$B31,'45'!E:E)</f>
        <v>1070513.6599999999</v>
      </c>
      <c r="H31" s="46">
        <f>SUMIF('05'!$A:$A,$B31,'05'!F:F)+SUMIF('07'!$A:$A,$B31,'07'!F:F)+SUMIF('08'!$A:$A,$B31,'08'!F:F)+SUMIF('09'!$A:$A,$B31,'09'!F:F)+SUMIF('10'!$A:$A,$B31,'10'!F:F)+SUMIF('11'!$A:$A,$B31,'11'!F:F)+SUMIF('12'!$A:$A,$B31,'12'!F:F)+SUMIF('13'!$A:$A,$B31,'13'!F:F)+SUMIF('15'!$A:$A,$B31,'15'!F:F)+SUMIF('17'!$A:$A,$B31,'17'!F:F)+SUMIF('20'!$A:$A,$B31,'20'!F:F)+SUMIF('30'!$A:$A,$B31,'30'!F:F)+SUMIF('35'!$A:$A,$B31,'35'!F:F)+SUMIF('40'!$A:$A,$B31,'40'!F:F)+SUMIF('45'!$A:$A,$B31,'45'!F:F)</f>
        <v>970000</v>
      </c>
      <c r="I31" s="46">
        <f>SUMIF('05'!$A:$A,$B31,'05'!G:G)+SUMIF('07'!$A:$A,$B31,'07'!G:G)+SUMIF('08'!$A:$A,$B31,'08'!G:G)+SUMIF('09'!$A:$A,$B31,'09'!G:G)+SUMIF('10'!$A:$A,$B31,'10'!G:G)+SUMIF('11'!$A:$A,$B31,'11'!G:G)+SUMIF('12'!$A:$A,$B31,'12'!G:G)+SUMIF('13'!$A:$A,$B31,'13'!G:G)+SUMIF('15'!$A:$A,$B31,'15'!G:G)+SUMIF('17'!$A:$A,$B31,'17'!G:G)+SUMIF('20'!$A:$A,$B31,'20'!G:G)+SUMIF('30'!$A:$A,$B31,'30'!G:G)+SUMIF('35'!$A:$A,$B31,'35'!G:G)+SUMIF('40'!$A:$A,$B31,'40'!G:G)+SUMIF('45'!$A:$A,$B31,'45'!G:G)</f>
        <v>707100</v>
      </c>
      <c r="J31" s="46">
        <f>SUMIF('05'!$A:$A,$B31,'05'!H:H)+SUMIF('07'!$A:$A,$B31,'07'!H:H)+SUMIF('08'!$A:$A,$B31,'08'!H:H)+SUMIF('09'!$A:$A,$B31,'09'!H:H)+SUMIF('10'!$A:$A,$B31,'10'!H:H)+SUMIF('11'!$A:$A,$B31,'11'!H:H)+SUMIF('12'!$A:$A,$B31,'12'!H:H)+SUMIF('13'!$A:$A,$B31,'13'!H:H)+SUMIF('15'!$A:$A,$B31,'15'!H:H)+SUMIF('17'!$A:$A,$B31,'17'!H:H)+SUMIF('20'!$A:$A,$B31,'20'!H:H)+SUMIF('30'!$A:$A,$B31,'30'!H:H)+SUMIF('35'!$A:$A,$B31,'35'!H:H)+SUMIF('40'!$A:$A,$B31,'40'!H:H)+SUMIF('45'!$A:$A,$B31,'45'!H:H)</f>
        <v>940000</v>
      </c>
      <c r="K31" s="46">
        <f>SUMIF('05'!$A:$A,$B31,'05'!I:I)+SUMIF('07'!$A:$A,$B31,'07'!I:I)+SUMIF('08'!$A:$A,$B31,'08'!I:I)+SUMIF('09'!$A:$A,$B31,'09'!I:I)+SUMIF('10'!$A:$A,$B31,'10'!I:I)+SUMIF('11'!$A:$A,$B31,'11'!I:I)+SUMIF('12'!$A:$A,$B31,'12'!I:I)+SUMIF('13'!$A:$A,$B31,'13'!I:I)+SUMIF('15'!$A:$A,$B31,'15'!I:I)+SUMIF('17'!$A:$A,$B31,'17'!I:I)+SUMIF('20'!$A:$A,$B31,'20'!I:I)+SUMIF('30'!$A:$A,$B31,'30'!I:I)+SUMIF('35'!$A:$A,$B31,'35'!I:I)+SUMIF('40'!$A:$A,$B31,'40'!I:I)+SUMIF('45'!$A:$A,$B31,'45'!I:I)</f>
        <v>940000</v>
      </c>
      <c r="L31" s="46">
        <f>SUMIF('05'!$A:$A,$B31,'05'!J:J)+SUMIF('07'!$A:$A,$B31,'07'!J:J)+SUMIF('08'!$A:$A,$B31,'08'!J:J)+SUMIF('09'!$A:$A,$B31,'09'!J:J)+SUMIF('10'!$A:$A,$B31,'10'!J:J)+SUMIF('11'!$A:$A,$B31,'11'!J:J)+SUMIF('12'!$A:$A,$B31,'12'!J:J)+SUMIF('13'!$A:$A,$B31,'13'!J:J)+SUMIF('15'!$A:$A,$B31,'15'!J:J)+SUMIF('17'!$A:$A,$B31,'17'!J:J)+SUMIF('20'!$A:$A,$B31,'20'!J:J)+SUMIF('30'!$A:$A,$B31,'30'!J:J)+SUMIF('35'!$A:$A,$B31,'35'!J:J)+SUMIF('40'!$A:$A,$B31,'40'!J:J)+SUMIF('45'!$A:$A,$B31,'45'!J:J)</f>
        <v>940000</v>
      </c>
    </row>
    <row r="32" spans="1:12" x14ac:dyDescent="0.2">
      <c r="A32" s="36"/>
      <c r="B32" s="37">
        <v>130</v>
      </c>
      <c r="C32" s="37"/>
      <c r="D32" s="45" t="s">
        <v>25</v>
      </c>
      <c r="E32" s="38"/>
      <c r="F32" s="38"/>
      <c r="G32" s="46">
        <f>SUMIF('05'!$A:$A,$B32,'05'!E:E)+SUMIF('07'!$A:$A,$B32,'07'!E:E)+SUMIF('08'!$A:$A,$B32,'08'!E:E)+SUMIF('09'!$A:$A,$B32,'09'!E:E)+SUMIF('10'!$A:$A,$B32,'10'!E:E)+SUMIF('11'!$A:$A,$B32,'11'!E:E)+SUMIF('12'!$A:$A,$B32,'12'!E:E)+SUMIF('13'!$A:$A,$B32,'13'!E:E)+SUMIF('15'!$A:$A,$B32,'15'!E:E)+SUMIF('17'!$A:$A,$B32,'17'!E:E)+SUMIF('20'!$A:$A,$B32,'20'!E:E)+SUMIF('30'!$A:$A,$B32,'30'!E:E)+SUMIF('35'!$A:$A,$B32,'35'!E:E)+SUMIF('40'!$A:$A,$B32,'40'!E:E)+SUMIF('45'!$A:$A,$B32,'45'!E:E)</f>
        <v>2104687.48</v>
      </c>
      <c r="H32" s="46">
        <f>SUMIF('05'!$A:$A,$B32,'05'!F:F)+SUMIF('07'!$A:$A,$B32,'07'!F:F)+SUMIF('08'!$A:$A,$B32,'08'!F:F)+SUMIF('09'!$A:$A,$B32,'09'!F:F)+SUMIF('10'!$A:$A,$B32,'10'!F:F)+SUMIF('11'!$A:$A,$B32,'11'!F:F)+SUMIF('12'!$A:$A,$B32,'12'!F:F)+SUMIF('13'!$A:$A,$B32,'13'!F:F)+SUMIF('15'!$A:$A,$B32,'15'!F:F)+SUMIF('17'!$A:$A,$B32,'17'!F:F)+SUMIF('20'!$A:$A,$B32,'20'!F:F)+SUMIF('30'!$A:$A,$B32,'30'!F:F)+SUMIF('35'!$A:$A,$B32,'35'!F:F)+SUMIF('40'!$A:$A,$B32,'40'!F:F)+SUMIF('45'!$A:$A,$B32,'45'!F:F)</f>
        <v>1838400</v>
      </c>
      <c r="I32" s="46">
        <f>SUMIF('05'!$A:$A,$B32,'05'!G:G)+SUMIF('07'!$A:$A,$B32,'07'!G:G)+SUMIF('08'!$A:$A,$B32,'08'!G:G)+SUMIF('09'!$A:$A,$B32,'09'!G:G)+SUMIF('10'!$A:$A,$B32,'10'!G:G)+SUMIF('11'!$A:$A,$B32,'11'!G:G)+SUMIF('12'!$A:$A,$B32,'12'!G:G)+SUMIF('13'!$A:$A,$B32,'13'!G:G)+SUMIF('15'!$A:$A,$B32,'15'!G:G)+SUMIF('17'!$A:$A,$B32,'17'!G:G)+SUMIF('20'!$A:$A,$B32,'20'!G:G)+SUMIF('30'!$A:$A,$B32,'30'!G:G)+SUMIF('35'!$A:$A,$B32,'35'!G:G)+SUMIF('40'!$A:$A,$B32,'40'!G:G)+SUMIF('45'!$A:$A,$B32,'45'!G:G)</f>
        <v>1788200</v>
      </c>
      <c r="J32" s="46">
        <f>SUMIF('05'!$A:$A,$B32,'05'!H:H)+SUMIF('07'!$A:$A,$B32,'07'!H:H)+SUMIF('08'!$A:$A,$B32,'08'!H:H)+SUMIF('09'!$A:$A,$B32,'09'!H:H)+SUMIF('10'!$A:$A,$B32,'10'!H:H)+SUMIF('11'!$A:$A,$B32,'11'!H:H)+SUMIF('12'!$A:$A,$B32,'12'!H:H)+SUMIF('13'!$A:$A,$B32,'13'!H:H)+SUMIF('15'!$A:$A,$B32,'15'!H:H)+SUMIF('17'!$A:$A,$B32,'17'!H:H)+SUMIF('20'!$A:$A,$B32,'20'!H:H)+SUMIF('30'!$A:$A,$B32,'30'!H:H)+SUMIF('35'!$A:$A,$B32,'35'!H:H)+SUMIF('40'!$A:$A,$B32,'40'!H:H)+SUMIF('45'!$A:$A,$B32,'45'!H:H)</f>
        <v>2000500</v>
      </c>
      <c r="K32" s="46">
        <f>SUMIF('05'!$A:$A,$B32,'05'!I:I)+SUMIF('07'!$A:$A,$B32,'07'!I:I)+SUMIF('08'!$A:$A,$B32,'08'!I:I)+SUMIF('09'!$A:$A,$B32,'09'!I:I)+SUMIF('10'!$A:$A,$B32,'10'!I:I)+SUMIF('11'!$A:$A,$B32,'11'!I:I)+SUMIF('12'!$A:$A,$B32,'12'!I:I)+SUMIF('13'!$A:$A,$B32,'13'!I:I)+SUMIF('15'!$A:$A,$B32,'15'!I:I)+SUMIF('17'!$A:$A,$B32,'17'!I:I)+SUMIF('20'!$A:$A,$B32,'20'!I:I)+SUMIF('30'!$A:$A,$B32,'30'!I:I)+SUMIF('35'!$A:$A,$B32,'35'!I:I)+SUMIF('40'!$A:$A,$B32,'40'!I:I)+SUMIF('45'!$A:$A,$B32,'45'!I:I)</f>
        <v>2004000</v>
      </c>
      <c r="L32" s="46">
        <f>SUMIF('05'!$A:$A,$B32,'05'!J:J)+SUMIF('07'!$A:$A,$B32,'07'!J:J)+SUMIF('08'!$A:$A,$B32,'08'!J:J)+SUMIF('09'!$A:$A,$B32,'09'!J:J)+SUMIF('10'!$A:$A,$B32,'10'!J:J)+SUMIF('11'!$A:$A,$B32,'11'!J:J)+SUMIF('12'!$A:$A,$B32,'12'!J:J)+SUMIF('13'!$A:$A,$B32,'13'!J:J)+SUMIF('15'!$A:$A,$B32,'15'!J:J)+SUMIF('17'!$A:$A,$B32,'17'!J:J)+SUMIF('20'!$A:$A,$B32,'20'!J:J)+SUMIF('30'!$A:$A,$B32,'30'!J:J)+SUMIF('35'!$A:$A,$B32,'35'!J:J)+SUMIF('40'!$A:$A,$B32,'40'!J:J)+SUMIF('45'!$A:$A,$B32,'45'!J:J)</f>
        <v>2007600</v>
      </c>
    </row>
    <row r="33" spans="1:12" x14ac:dyDescent="0.2">
      <c r="A33" s="36"/>
      <c r="B33" s="37">
        <v>135</v>
      </c>
      <c r="C33" s="37"/>
      <c r="D33" s="45" t="s">
        <v>26</v>
      </c>
      <c r="E33" s="38"/>
      <c r="F33" s="38"/>
      <c r="G33" s="46">
        <f>SUMIF('05'!$A:$A,$B33,'05'!E:E)+SUMIF('07'!$A:$A,$B33,'07'!E:E)+SUMIF('08'!$A:$A,$B33,'08'!E:E)+SUMIF('09'!$A:$A,$B33,'09'!E:E)+SUMIF('10'!$A:$A,$B33,'10'!E:E)+SUMIF('11'!$A:$A,$B33,'11'!E:E)+SUMIF('12'!$A:$A,$B33,'12'!E:E)+SUMIF('13'!$A:$A,$B33,'13'!E:E)+SUMIF('15'!$A:$A,$B33,'15'!E:E)+SUMIF('17'!$A:$A,$B33,'17'!E:E)+SUMIF('20'!$A:$A,$B33,'20'!E:E)+SUMIF('30'!$A:$A,$B33,'30'!E:E)+SUMIF('35'!$A:$A,$B33,'35'!E:E)+SUMIF('40'!$A:$A,$B33,'40'!E:E)+SUMIF('45'!$A:$A,$B33,'45'!E:E)</f>
        <v>1225032.2100000002</v>
      </c>
      <c r="H33" s="46">
        <f>SUMIF('05'!$A:$A,$B33,'05'!F:F)+SUMIF('07'!$A:$A,$B33,'07'!F:F)+SUMIF('08'!$A:$A,$B33,'08'!F:F)+SUMIF('09'!$A:$A,$B33,'09'!F:F)+SUMIF('10'!$A:$A,$B33,'10'!F:F)+SUMIF('11'!$A:$A,$B33,'11'!F:F)+SUMIF('12'!$A:$A,$B33,'12'!F:F)+SUMIF('13'!$A:$A,$B33,'13'!F:F)+SUMIF('15'!$A:$A,$B33,'15'!F:F)+SUMIF('17'!$A:$A,$B33,'17'!F:F)+SUMIF('20'!$A:$A,$B33,'20'!F:F)+SUMIF('30'!$A:$A,$B33,'30'!F:F)+SUMIF('35'!$A:$A,$B33,'35'!F:F)+SUMIF('40'!$A:$A,$B33,'40'!F:F)+SUMIF('45'!$A:$A,$B33,'45'!F:F)</f>
        <v>689500</v>
      </c>
      <c r="I33" s="46">
        <f>SUMIF('05'!$A:$A,$B33,'05'!G:G)+SUMIF('07'!$A:$A,$B33,'07'!G:G)+SUMIF('08'!$A:$A,$B33,'08'!G:G)+SUMIF('09'!$A:$A,$B33,'09'!G:G)+SUMIF('10'!$A:$A,$B33,'10'!G:G)+SUMIF('11'!$A:$A,$B33,'11'!G:G)+SUMIF('12'!$A:$A,$B33,'12'!G:G)+SUMIF('13'!$A:$A,$B33,'13'!G:G)+SUMIF('15'!$A:$A,$B33,'15'!G:G)+SUMIF('17'!$A:$A,$B33,'17'!G:G)+SUMIF('20'!$A:$A,$B33,'20'!G:G)+SUMIF('30'!$A:$A,$B33,'30'!G:G)+SUMIF('35'!$A:$A,$B33,'35'!G:G)+SUMIF('40'!$A:$A,$B33,'40'!G:G)+SUMIF('45'!$A:$A,$B33,'45'!G:G)</f>
        <v>1132400</v>
      </c>
      <c r="J33" s="46">
        <f>SUMIF('05'!$A:$A,$B33,'05'!H:H)+SUMIF('07'!$A:$A,$B33,'07'!H:H)+SUMIF('08'!$A:$A,$B33,'08'!H:H)+SUMIF('09'!$A:$A,$B33,'09'!H:H)+SUMIF('10'!$A:$A,$B33,'10'!H:H)+SUMIF('11'!$A:$A,$B33,'11'!H:H)+SUMIF('12'!$A:$A,$B33,'12'!H:H)+SUMIF('13'!$A:$A,$B33,'13'!H:H)+SUMIF('15'!$A:$A,$B33,'15'!H:H)+SUMIF('17'!$A:$A,$B33,'17'!H:H)+SUMIF('20'!$A:$A,$B33,'20'!H:H)+SUMIF('30'!$A:$A,$B33,'30'!H:H)+SUMIF('35'!$A:$A,$B33,'35'!H:H)+SUMIF('40'!$A:$A,$B33,'40'!H:H)+SUMIF('45'!$A:$A,$B33,'45'!H:H)</f>
        <v>884700</v>
      </c>
      <c r="K33" s="46">
        <f>SUMIF('05'!$A:$A,$B33,'05'!I:I)+SUMIF('07'!$A:$A,$B33,'07'!I:I)+SUMIF('08'!$A:$A,$B33,'08'!I:I)+SUMIF('09'!$A:$A,$B33,'09'!I:I)+SUMIF('10'!$A:$A,$B33,'10'!I:I)+SUMIF('11'!$A:$A,$B33,'11'!I:I)+SUMIF('12'!$A:$A,$B33,'12'!I:I)+SUMIF('13'!$A:$A,$B33,'13'!I:I)+SUMIF('15'!$A:$A,$B33,'15'!I:I)+SUMIF('17'!$A:$A,$B33,'17'!I:I)+SUMIF('20'!$A:$A,$B33,'20'!I:I)+SUMIF('30'!$A:$A,$B33,'30'!I:I)+SUMIF('35'!$A:$A,$B33,'35'!I:I)+SUMIF('40'!$A:$A,$B33,'40'!I:I)+SUMIF('45'!$A:$A,$B33,'45'!I:I)</f>
        <v>869500</v>
      </c>
      <c r="L33" s="46">
        <f>SUMIF('05'!$A:$A,$B33,'05'!J:J)+SUMIF('07'!$A:$A,$B33,'07'!J:J)+SUMIF('08'!$A:$A,$B33,'08'!J:J)+SUMIF('09'!$A:$A,$B33,'09'!J:J)+SUMIF('10'!$A:$A,$B33,'10'!J:J)+SUMIF('11'!$A:$A,$B33,'11'!J:J)+SUMIF('12'!$A:$A,$B33,'12'!J:J)+SUMIF('13'!$A:$A,$B33,'13'!J:J)+SUMIF('15'!$A:$A,$B33,'15'!J:J)+SUMIF('17'!$A:$A,$B33,'17'!J:J)+SUMIF('20'!$A:$A,$B33,'20'!J:J)+SUMIF('30'!$A:$A,$B33,'30'!J:J)+SUMIF('35'!$A:$A,$B33,'35'!J:J)+SUMIF('40'!$A:$A,$B33,'40'!J:J)+SUMIF('45'!$A:$A,$B33,'45'!J:J)</f>
        <v>869500</v>
      </c>
    </row>
    <row r="34" spans="1:12" ht="12.75" hidden="1" customHeight="1" x14ac:dyDescent="0.2">
      <c r="A34" s="36"/>
      <c r="B34" s="37">
        <v>140</v>
      </c>
      <c r="C34" s="37"/>
      <c r="D34" s="45" t="s">
        <v>27</v>
      </c>
      <c r="E34" s="38"/>
      <c r="F34" s="38"/>
      <c r="G34" s="46">
        <f>SUMIF('05'!$A:$A,$B34,'05'!E:E)+SUMIF('07'!$A:$A,$B34,'07'!E:E)+SUMIF('08'!$A:$A,$B34,'08'!E:E)+SUMIF('09'!$A:$A,$B34,'09'!E:E)+SUMIF('10'!$A:$A,$B34,'10'!E:E)+SUMIF('11'!$A:$A,$B34,'11'!E:E)+SUMIF('12'!$A:$A,$B34,'12'!E:E)+SUMIF('13'!$A:$A,$B34,'13'!E:E)+SUMIF('15'!$A:$A,$B34,'15'!E:E)+SUMIF('17'!$A:$A,$B34,'17'!E:E)+SUMIF('20'!$A:$A,$B34,'20'!E:E)+SUMIF('30'!$A:$A,$B34,'30'!E:E)+SUMIF('35'!$A:$A,$B34,'35'!E:E)+SUMIF('40'!$A:$A,$B34,'40'!E:E)+SUMIF('45'!$A:$A,$B34,'45'!E:E)</f>
        <v>0</v>
      </c>
      <c r="H34" s="46">
        <f>SUMIF('05'!$A:$A,$B34,'05'!F:F)+SUMIF('07'!$A:$A,$B34,'07'!F:F)+SUMIF('08'!$A:$A,$B34,'08'!F:F)+SUMIF('09'!$A:$A,$B34,'09'!F:F)+SUMIF('10'!$A:$A,$B34,'10'!F:F)+SUMIF('11'!$A:$A,$B34,'11'!F:F)+SUMIF('12'!$A:$A,$B34,'12'!F:F)+SUMIF('13'!$A:$A,$B34,'13'!F:F)+SUMIF('15'!$A:$A,$B34,'15'!F:F)+SUMIF('17'!$A:$A,$B34,'17'!F:F)+SUMIF('20'!$A:$A,$B34,'20'!F:F)+SUMIF('30'!$A:$A,$B34,'30'!F:F)+SUMIF('35'!$A:$A,$B34,'35'!F:F)+SUMIF('40'!$A:$A,$B34,'40'!F:F)+SUMIF('45'!$A:$A,$B34,'45'!F:F)</f>
        <v>0</v>
      </c>
      <c r="I34" s="46">
        <f>SUMIF('05'!$A:$A,$B34,'05'!G:G)+SUMIF('07'!$A:$A,$B34,'07'!G:G)+SUMIF('08'!$A:$A,$B34,'08'!G:G)+SUMIF('09'!$A:$A,$B34,'09'!G:G)+SUMIF('10'!$A:$A,$B34,'10'!G:G)+SUMIF('11'!$A:$A,$B34,'11'!G:G)+SUMIF('12'!$A:$A,$B34,'12'!G:G)+SUMIF('13'!$A:$A,$B34,'13'!G:G)+SUMIF('15'!$A:$A,$B34,'15'!G:G)+SUMIF('17'!$A:$A,$B34,'17'!G:G)+SUMIF('20'!$A:$A,$B34,'20'!G:G)+SUMIF('30'!$A:$A,$B34,'30'!G:G)+SUMIF('35'!$A:$A,$B34,'35'!G:G)+SUMIF('40'!$A:$A,$B34,'40'!G:G)+SUMIF('45'!$A:$A,$B34,'45'!G:G)</f>
        <v>0</v>
      </c>
      <c r="J34" s="46">
        <f>SUMIF('05'!$A:$A,$B34,'05'!H:H)+SUMIF('07'!$A:$A,$B34,'07'!H:H)+SUMIF('08'!$A:$A,$B34,'08'!H:H)+SUMIF('09'!$A:$A,$B34,'09'!H:H)+SUMIF('10'!$A:$A,$B34,'10'!H:H)+SUMIF('11'!$A:$A,$B34,'11'!H:H)+SUMIF('12'!$A:$A,$B34,'12'!H:H)+SUMIF('13'!$A:$A,$B34,'13'!H:H)+SUMIF('15'!$A:$A,$B34,'15'!H:H)+SUMIF('17'!$A:$A,$B34,'17'!H:H)+SUMIF('20'!$A:$A,$B34,'20'!H:H)+SUMIF('30'!$A:$A,$B34,'30'!H:H)+SUMIF('35'!$A:$A,$B34,'35'!H:H)+SUMIF('40'!$A:$A,$B34,'40'!H:H)+SUMIF('45'!$A:$A,$B34,'45'!H:H)</f>
        <v>0</v>
      </c>
      <c r="K34" s="46">
        <f>SUMIF('05'!$A:$A,$B34,'05'!I:I)+SUMIF('07'!$A:$A,$B34,'07'!I:I)+SUMIF('08'!$A:$A,$B34,'08'!I:I)+SUMIF('09'!$A:$A,$B34,'09'!I:I)+SUMIF('10'!$A:$A,$B34,'10'!I:I)+SUMIF('11'!$A:$A,$B34,'11'!I:I)+SUMIF('12'!$A:$A,$B34,'12'!I:I)+SUMIF('13'!$A:$A,$B34,'13'!I:I)+SUMIF('15'!$A:$A,$B34,'15'!I:I)+SUMIF('17'!$A:$A,$B34,'17'!I:I)+SUMIF('20'!$A:$A,$B34,'20'!I:I)+SUMIF('30'!$A:$A,$B34,'30'!I:I)+SUMIF('35'!$A:$A,$B34,'35'!I:I)+SUMIF('40'!$A:$A,$B34,'40'!I:I)+SUMIF('45'!$A:$A,$B34,'45'!I:I)</f>
        <v>0</v>
      </c>
      <c r="L34" s="46">
        <f>SUMIF('05'!$A:$A,$B34,'05'!J:J)+SUMIF('07'!$A:$A,$B34,'07'!J:J)+SUMIF('08'!$A:$A,$B34,'08'!J:J)+SUMIF('09'!$A:$A,$B34,'09'!J:J)+SUMIF('10'!$A:$A,$B34,'10'!J:J)+SUMIF('11'!$A:$A,$B34,'11'!J:J)+SUMIF('12'!$A:$A,$B34,'12'!J:J)+SUMIF('13'!$A:$A,$B34,'13'!J:J)+SUMIF('15'!$A:$A,$B34,'15'!J:J)+SUMIF('17'!$A:$A,$B34,'17'!J:J)+SUMIF('20'!$A:$A,$B34,'20'!J:J)+SUMIF('30'!$A:$A,$B34,'30'!J:J)+SUMIF('35'!$A:$A,$B34,'35'!J:J)+SUMIF('40'!$A:$A,$B34,'40'!J:J)+SUMIF('45'!$A:$A,$B34,'45'!J:J)</f>
        <v>0</v>
      </c>
    </row>
    <row r="35" spans="1:12" x14ac:dyDescent="0.2">
      <c r="A35" s="36"/>
      <c r="B35" s="37">
        <v>145</v>
      </c>
      <c r="C35" s="37"/>
      <c r="D35" s="45" t="s">
        <v>28</v>
      </c>
      <c r="E35" s="38"/>
      <c r="F35" s="38"/>
      <c r="G35" s="46">
        <f>SUMIF('05'!$A:$A,$B35,'05'!E:E)+SUMIF('07'!$A:$A,$B35,'07'!E:E)+SUMIF('08'!$A:$A,$B35,'08'!E:E)+SUMIF('09'!$A:$A,$B35,'09'!E:E)+SUMIF('10'!$A:$A,$B35,'10'!E:E)+SUMIF('11'!$A:$A,$B35,'11'!E:E)+SUMIF('12'!$A:$A,$B35,'12'!E:E)+SUMIF('13'!$A:$A,$B35,'13'!E:E)+SUMIF('15'!$A:$A,$B35,'15'!E:E)+SUMIF('17'!$A:$A,$B35,'17'!E:E)+SUMIF('20'!$A:$A,$B35,'20'!E:E)+SUMIF('30'!$A:$A,$B35,'30'!E:E)+SUMIF('35'!$A:$A,$B35,'35'!E:E)+SUMIF('40'!$A:$A,$B35,'40'!E:E)+SUMIF('45'!$A:$A,$B35,'45'!E:E)</f>
        <v>150612.85</v>
      </c>
      <c r="H35" s="46">
        <f>SUMIF('05'!$A:$A,$B35,'05'!F:F)+SUMIF('07'!$A:$A,$B35,'07'!F:F)+SUMIF('08'!$A:$A,$B35,'08'!F:F)+SUMIF('09'!$A:$A,$B35,'09'!F:F)+SUMIF('10'!$A:$A,$B35,'10'!F:F)+SUMIF('11'!$A:$A,$B35,'11'!F:F)+SUMIF('12'!$A:$A,$B35,'12'!F:F)+SUMIF('13'!$A:$A,$B35,'13'!F:F)+SUMIF('15'!$A:$A,$B35,'15'!F:F)+SUMIF('17'!$A:$A,$B35,'17'!F:F)+SUMIF('20'!$A:$A,$B35,'20'!F:F)+SUMIF('30'!$A:$A,$B35,'30'!F:F)+SUMIF('35'!$A:$A,$B35,'35'!F:F)+SUMIF('40'!$A:$A,$B35,'40'!F:F)+SUMIF('45'!$A:$A,$B35,'45'!F:F)</f>
        <v>985000</v>
      </c>
      <c r="I35" s="46">
        <f>SUMIF('05'!$A:$A,$B35,'05'!G:G)+SUMIF('07'!$A:$A,$B35,'07'!G:G)+SUMIF('08'!$A:$A,$B35,'08'!G:G)+SUMIF('09'!$A:$A,$B35,'09'!G:G)+SUMIF('10'!$A:$A,$B35,'10'!G:G)+SUMIF('11'!$A:$A,$B35,'11'!G:G)+SUMIF('12'!$A:$A,$B35,'12'!G:G)+SUMIF('13'!$A:$A,$B35,'13'!G:G)+SUMIF('15'!$A:$A,$B35,'15'!G:G)+SUMIF('17'!$A:$A,$B35,'17'!G:G)+SUMIF('20'!$A:$A,$B35,'20'!G:G)+SUMIF('30'!$A:$A,$B35,'30'!G:G)+SUMIF('35'!$A:$A,$B35,'35'!G:G)+SUMIF('40'!$A:$A,$B35,'40'!G:G)+SUMIF('45'!$A:$A,$B35,'45'!G:G)</f>
        <v>1022000</v>
      </c>
      <c r="J35" s="46">
        <f>SUMIF('05'!$A:$A,$B35,'05'!H:H)+SUMIF('07'!$A:$A,$B35,'07'!H:H)+SUMIF('08'!$A:$A,$B35,'08'!H:H)+SUMIF('09'!$A:$A,$B35,'09'!H:H)+SUMIF('10'!$A:$A,$B35,'10'!H:H)+SUMIF('11'!$A:$A,$B35,'11'!H:H)+SUMIF('12'!$A:$A,$B35,'12'!H:H)+SUMIF('13'!$A:$A,$B35,'13'!H:H)+SUMIF('15'!$A:$A,$B35,'15'!H:H)+SUMIF('17'!$A:$A,$B35,'17'!H:H)+SUMIF('20'!$A:$A,$B35,'20'!H:H)+SUMIF('30'!$A:$A,$B35,'30'!H:H)+SUMIF('35'!$A:$A,$B35,'35'!H:H)+SUMIF('40'!$A:$A,$B35,'40'!H:H)+SUMIF('45'!$A:$A,$B35,'45'!H:H)</f>
        <v>115000</v>
      </c>
      <c r="K35" s="46">
        <f>SUMIF('05'!$A:$A,$B35,'05'!I:I)+SUMIF('07'!$A:$A,$B35,'07'!I:I)+SUMIF('08'!$A:$A,$B35,'08'!I:I)+SUMIF('09'!$A:$A,$B35,'09'!I:I)+SUMIF('10'!$A:$A,$B35,'10'!I:I)+SUMIF('11'!$A:$A,$B35,'11'!I:I)+SUMIF('12'!$A:$A,$B35,'12'!I:I)+SUMIF('13'!$A:$A,$B35,'13'!I:I)+SUMIF('15'!$A:$A,$B35,'15'!I:I)+SUMIF('17'!$A:$A,$B35,'17'!I:I)+SUMIF('20'!$A:$A,$B35,'20'!I:I)+SUMIF('30'!$A:$A,$B35,'30'!I:I)+SUMIF('35'!$A:$A,$B35,'35'!I:I)+SUMIF('40'!$A:$A,$B35,'40'!I:I)+SUMIF('45'!$A:$A,$B35,'45'!I:I)</f>
        <v>115000</v>
      </c>
      <c r="L35" s="46">
        <f>SUMIF('05'!$A:$A,$B35,'05'!J:J)+SUMIF('07'!$A:$A,$B35,'07'!J:J)+SUMIF('08'!$A:$A,$B35,'08'!J:J)+SUMIF('09'!$A:$A,$B35,'09'!J:J)+SUMIF('10'!$A:$A,$B35,'10'!J:J)+SUMIF('11'!$A:$A,$B35,'11'!J:J)+SUMIF('12'!$A:$A,$B35,'12'!J:J)+SUMIF('13'!$A:$A,$B35,'13'!J:J)+SUMIF('15'!$A:$A,$B35,'15'!J:J)+SUMIF('17'!$A:$A,$B35,'17'!J:J)+SUMIF('20'!$A:$A,$B35,'20'!J:J)+SUMIF('30'!$A:$A,$B35,'30'!J:J)+SUMIF('35'!$A:$A,$B35,'35'!J:J)+SUMIF('40'!$A:$A,$B35,'40'!J:J)+SUMIF('45'!$A:$A,$B35,'45'!J:J)</f>
        <v>115000</v>
      </c>
    </row>
    <row r="36" spans="1:12" x14ac:dyDescent="0.2">
      <c r="A36" s="36"/>
      <c r="B36" s="37">
        <v>160</v>
      </c>
      <c r="C36" s="37"/>
      <c r="D36" s="45" t="s">
        <v>29</v>
      </c>
      <c r="E36" s="38"/>
      <c r="F36" s="38"/>
      <c r="G36" s="46">
        <f>SUMIF('05'!$A:$A,$B36,'05'!E:E)+SUMIF('07'!$A:$A,$B36,'07'!E:E)+SUMIF('08'!$A:$A,$B36,'08'!E:E)+SUMIF('09'!$A:$A,$B36,'09'!E:E)+SUMIF('10'!$A:$A,$B36,'10'!E:E)+SUMIF('11'!$A:$A,$B36,'11'!E:E)+SUMIF('12'!$A:$A,$B36,'12'!E:E)+SUMIF('13'!$A:$A,$B36,'13'!E:E)+SUMIF('15'!$A:$A,$B36,'15'!E:E)+SUMIF('17'!$A:$A,$B36,'17'!E:E)+SUMIF('20'!$A:$A,$B36,'20'!E:E)+SUMIF('30'!$A:$A,$B36,'30'!E:E)+SUMIF('35'!$A:$A,$B36,'35'!E:E)+SUMIF('40'!$A:$A,$B36,'40'!E:E)+SUMIF('45'!$A:$A,$B36,'45'!E:E)</f>
        <v>2367433.2999999998</v>
      </c>
      <c r="H36" s="46">
        <f>SUMIF('05'!$A:$A,$B36,'05'!F:F)+SUMIF('07'!$A:$A,$B36,'07'!F:F)+SUMIF('08'!$A:$A,$B36,'08'!F:F)+SUMIF('09'!$A:$A,$B36,'09'!F:F)+SUMIF('10'!$A:$A,$B36,'10'!F:F)+SUMIF('11'!$A:$A,$B36,'11'!F:F)+SUMIF('12'!$A:$A,$B36,'12'!F:F)+SUMIF('13'!$A:$A,$B36,'13'!F:F)+SUMIF('15'!$A:$A,$B36,'15'!F:F)+SUMIF('17'!$A:$A,$B36,'17'!F:F)+SUMIF('20'!$A:$A,$B36,'20'!F:F)+SUMIF('30'!$A:$A,$B36,'30'!F:F)+SUMIF('35'!$A:$A,$B36,'35'!F:F)+SUMIF('40'!$A:$A,$B36,'40'!F:F)+SUMIF('45'!$A:$A,$B36,'45'!F:F)</f>
        <v>2572900</v>
      </c>
      <c r="I36" s="46">
        <f>SUMIF('05'!$A:$A,$B36,'05'!G:G)+SUMIF('07'!$A:$A,$B36,'07'!G:G)+SUMIF('08'!$A:$A,$B36,'08'!G:G)+SUMIF('09'!$A:$A,$B36,'09'!G:G)+SUMIF('10'!$A:$A,$B36,'10'!G:G)+SUMIF('11'!$A:$A,$B36,'11'!G:G)+SUMIF('12'!$A:$A,$B36,'12'!G:G)+SUMIF('13'!$A:$A,$B36,'13'!G:G)+SUMIF('15'!$A:$A,$B36,'15'!G:G)+SUMIF('17'!$A:$A,$B36,'17'!G:G)+SUMIF('20'!$A:$A,$B36,'20'!G:G)+SUMIF('30'!$A:$A,$B36,'30'!G:G)+SUMIF('35'!$A:$A,$B36,'35'!G:G)+SUMIF('40'!$A:$A,$B36,'40'!G:G)+SUMIF('45'!$A:$A,$B36,'45'!G:G)</f>
        <v>2090900</v>
      </c>
      <c r="J36" s="46">
        <f>SUMIF('05'!$A:$A,$B36,'05'!H:H)+SUMIF('07'!$A:$A,$B36,'07'!H:H)+SUMIF('08'!$A:$A,$B36,'08'!H:H)+SUMIF('09'!$A:$A,$B36,'09'!H:H)+SUMIF('10'!$A:$A,$B36,'10'!H:H)+SUMIF('11'!$A:$A,$B36,'11'!H:H)+SUMIF('12'!$A:$A,$B36,'12'!H:H)+SUMIF('13'!$A:$A,$B36,'13'!H:H)+SUMIF('15'!$A:$A,$B36,'15'!H:H)+SUMIF('17'!$A:$A,$B36,'17'!H:H)+SUMIF('20'!$A:$A,$B36,'20'!H:H)+SUMIF('30'!$A:$A,$B36,'30'!H:H)+SUMIF('35'!$A:$A,$B36,'35'!H:H)+SUMIF('40'!$A:$A,$B36,'40'!H:H)+SUMIF('45'!$A:$A,$B36,'45'!H:H)</f>
        <v>2318900</v>
      </c>
      <c r="K36" s="46">
        <f>SUMIF('05'!$A:$A,$B36,'05'!I:I)+SUMIF('07'!$A:$A,$B36,'07'!I:I)+SUMIF('08'!$A:$A,$B36,'08'!I:I)+SUMIF('09'!$A:$A,$B36,'09'!I:I)+SUMIF('10'!$A:$A,$B36,'10'!I:I)+SUMIF('11'!$A:$A,$B36,'11'!I:I)+SUMIF('12'!$A:$A,$B36,'12'!I:I)+SUMIF('13'!$A:$A,$B36,'13'!I:I)+SUMIF('15'!$A:$A,$B36,'15'!I:I)+SUMIF('17'!$A:$A,$B36,'17'!I:I)+SUMIF('20'!$A:$A,$B36,'20'!I:I)+SUMIF('30'!$A:$A,$B36,'30'!I:I)+SUMIF('35'!$A:$A,$B36,'35'!I:I)+SUMIF('40'!$A:$A,$B36,'40'!I:I)+SUMIF('45'!$A:$A,$B36,'45'!I:I)</f>
        <v>2318900</v>
      </c>
      <c r="L36" s="46">
        <f>SUMIF('05'!$A:$A,$B36,'05'!J:J)+SUMIF('07'!$A:$A,$B36,'07'!J:J)+SUMIF('08'!$A:$A,$B36,'08'!J:J)+SUMIF('09'!$A:$A,$B36,'09'!J:J)+SUMIF('10'!$A:$A,$B36,'10'!J:J)+SUMIF('11'!$A:$A,$B36,'11'!J:J)+SUMIF('12'!$A:$A,$B36,'12'!J:J)+SUMIF('13'!$A:$A,$B36,'13'!J:J)+SUMIF('15'!$A:$A,$B36,'15'!J:J)+SUMIF('17'!$A:$A,$B36,'17'!J:J)+SUMIF('20'!$A:$A,$B36,'20'!J:J)+SUMIF('30'!$A:$A,$B36,'30'!J:J)+SUMIF('35'!$A:$A,$B36,'35'!J:J)+SUMIF('40'!$A:$A,$B36,'40'!J:J)+SUMIF('45'!$A:$A,$B36,'45'!J:J)</f>
        <v>2318900</v>
      </c>
    </row>
    <row r="37" spans="1:12" x14ac:dyDescent="0.2">
      <c r="A37" s="36"/>
      <c r="B37" s="37"/>
      <c r="C37" s="37"/>
      <c r="D37" s="45"/>
      <c r="E37" s="47" t="s">
        <v>30</v>
      </c>
      <c r="F37" s="38"/>
      <c r="G37" s="48">
        <f t="shared" ref="G37:L37" si="12">SUM(G26:G36)</f>
        <v>46063147.249999993</v>
      </c>
      <c r="H37" s="48">
        <f t="shared" si="12"/>
        <v>48558300</v>
      </c>
      <c r="I37" s="48">
        <f t="shared" si="12"/>
        <v>45777300</v>
      </c>
      <c r="J37" s="48">
        <f t="shared" si="12"/>
        <v>47267900</v>
      </c>
      <c r="K37" s="48">
        <f t="shared" si="12"/>
        <v>48013200</v>
      </c>
      <c r="L37" s="48">
        <f t="shared" si="12"/>
        <v>48766400</v>
      </c>
    </row>
    <row r="38" spans="1:12" x14ac:dyDescent="0.2">
      <c r="A38" s="36"/>
      <c r="B38" s="37">
        <v>150</v>
      </c>
      <c r="C38" s="37"/>
      <c r="D38" s="45" t="s">
        <v>31</v>
      </c>
      <c r="E38" s="38"/>
      <c r="F38" s="38"/>
      <c r="G38" s="46">
        <f>SUMIF('05'!$A:$A,$B38,'05'!E:E)+SUMIF('07'!$A:$A,$B38,'07'!E:E)+SUMIF('08'!$A:$A,$B38,'08'!E:E)+SUMIF('09'!$A:$A,$B38,'09'!E:E)+SUMIF('10'!$A:$A,$B38,'10'!E:E)+SUMIF('11'!$A:$A,$B38,'11'!E:E)+SUMIF('12'!$A:$A,$B38,'12'!E:E)+SUMIF('13'!$A:$A,$B38,'13'!E:E)+SUMIF('15'!$A:$A,$B38,'15'!E:E)+SUMIF('17'!$A:$A,$B38,'17'!E:E)+SUMIF('20'!$A:$A,$B38,'20'!E:E)+SUMIF('30'!$A:$A,$B38,'30'!E:E)+SUMIF('35'!$A:$A,$B38,'35'!E:E)+SUMIF('40'!$A:$A,$B38,'40'!E:E)+SUMIF('45'!$A:$A,$B38,'45'!E:E)</f>
        <v>75349758.030000001</v>
      </c>
      <c r="H38" s="46">
        <f>SUMIF('05'!$A:$A,$B38,'05'!F:F)+SUMIF('07'!$A:$A,$B38,'07'!F:F)+SUMIF('08'!$A:$A,$B38,'08'!F:F)+SUMIF('09'!$A:$A,$B38,'09'!F:F)+SUMIF('10'!$A:$A,$B38,'10'!F:F)+SUMIF('11'!$A:$A,$B38,'11'!F:F)+SUMIF('12'!$A:$A,$B38,'12'!F:F)+SUMIF('13'!$A:$A,$B38,'13'!F:F)+SUMIF('15'!$A:$A,$B38,'15'!F:F)+SUMIF('17'!$A:$A,$B38,'17'!F:F)+SUMIF('20'!$A:$A,$B38,'20'!F:F)+SUMIF('30'!$A:$A,$B38,'30'!F:F)+SUMIF('35'!$A:$A,$B38,'35'!F:F)+SUMIF('40'!$A:$A,$B38,'40'!F:F)+SUMIF('45'!$A:$A,$B38,'45'!F:F)</f>
        <v>79680000</v>
      </c>
      <c r="I38" s="46">
        <f>SUMIF('05'!$A:$A,$B38,'05'!G:G)+SUMIF('07'!$A:$A,$B38,'07'!G:G)+SUMIF('08'!$A:$A,$B38,'08'!G:G)+SUMIF('09'!$A:$A,$B38,'09'!G:G)+SUMIF('10'!$A:$A,$B38,'10'!G:G)+SUMIF('11'!$A:$A,$B38,'11'!G:G)+SUMIF('12'!$A:$A,$B38,'12'!G:G)+SUMIF('13'!$A:$A,$B38,'13'!G:G)+SUMIF('15'!$A:$A,$B38,'15'!G:G)+SUMIF('17'!$A:$A,$B38,'17'!G:G)+SUMIF('20'!$A:$A,$B38,'20'!G:G)+SUMIF('30'!$A:$A,$B38,'30'!G:G)+SUMIF('35'!$A:$A,$B38,'35'!G:G)+SUMIF('40'!$A:$A,$B38,'40'!G:G)+SUMIF('45'!$A:$A,$B38,'45'!G:G)</f>
        <v>75929300</v>
      </c>
      <c r="J38" s="46">
        <f>SUMIF('05'!$A:$A,$B38,'05'!H:H)+SUMIF('07'!$A:$A,$B38,'07'!H:H)+SUMIF('08'!$A:$A,$B38,'08'!H:H)+SUMIF('09'!$A:$A,$B38,'09'!H:H)+SUMIF('10'!$A:$A,$B38,'10'!H:H)+SUMIF('11'!$A:$A,$B38,'11'!H:H)+SUMIF('12'!$A:$A,$B38,'12'!H:H)+SUMIF('13'!$A:$A,$B38,'13'!H:H)+SUMIF('15'!$A:$A,$B38,'15'!H:H)+SUMIF('17'!$A:$A,$B38,'17'!H:H)+SUMIF('20'!$A:$A,$B38,'20'!H:H)+SUMIF('30'!$A:$A,$B38,'30'!H:H)+SUMIF('35'!$A:$A,$B38,'35'!H:H)+SUMIF('40'!$A:$A,$B38,'40'!H:H)+SUMIF('45'!$A:$A,$B38,'45'!H:H)</f>
        <v>78674900</v>
      </c>
      <c r="K38" s="46">
        <f>SUMIF('05'!$A:$A,$B38,'05'!I:I)+SUMIF('07'!$A:$A,$B38,'07'!I:I)+SUMIF('08'!$A:$A,$B38,'08'!I:I)+SUMIF('09'!$A:$A,$B38,'09'!I:I)+SUMIF('10'!$A:$A,$B38,'10'!I:I)+SUMIF('11'!$A:$A,$B38,'11'!I:I)+SUMIF('12'!$A:$A,$B38,'12'!I:I)+SUMIF('13'!$A:$A,$B38,'13'!I:I)+SUMIF('15'!$A:$A,$B38,'15'!I:I)+SUMIF('17'!$A:$A,$B38,'17'!I:I)+SUMIF('20'!$A:$A,$B38,'20'!I:I)+SUMIF('30'!$A:$A,$B38,'30'!I:I)+SUMIF('35'!$A:$A,$B38,'35'!I:I)+SUMIF('40'!$A:$A,$B38,'40'!I:I)+SUMIF('45'!$A:$A,$B38,'45'!I:I)</f>
        <v>77984600</v>
      </c>
      <c r="L38" s="46">
        <f>SUMIF('05'!$A:$A,$B38,'05'!J:J)+SUMIF('07'!$A:$A,$B38,'07'!J:J)+SUMIF('08'!$A:$A,$B38,'08'!J:J)+SUMIF('09'!$A:$A,$B38,'09'!J:J)+SUMIF('10'!$A:$A,$B38,'10'!J:J)+SUMIF('11'!$A:$A,$B38,'11'!J:J)+SUMIF('12'!$A:$A,$B38,'12'!J:J)+SUMIF('13'!$A:$A,$B38,'13'!J:J)+SUMIF('15'!$A:$A,$B38,'15'!J:J)+SUMIF('17'!$A:$A,$B38,'17'!J:J)+SUMIF('20'!$A:$A,$B38,'20'!J:J)+SUMIF('30'!$A:$A,$B38,'30'!J:J)+SUMIF('35'!$A:$A,$B38,'35'!J:J)+SUMIF('40'!$A:$A,$B38,'40'!J:J)+SUMIF('45'!$A:$A,$B38,'45'!J:J)</f>
        <v>77671300</v>
      </c>
    </row>
    <row r="39" spans="1:12" ht="13.5" thickBot="1" x14ac:dyDescent="0.25">
      <c r="A39" s="36"/>
      <c r="B39" s="37"/>
      <c r="C39" s="37"/>
      <c r="D39" s="38"/>
      <c r="E39" s="47" t="s">
        <v>32</v>
      </c>
      <c r="F39" s="49"/>
      <c r="G39" s="48">
        <f t="shared" ref="G39:L39" si="13">SUM(G37:G38)</f>
        <v>121412905.28</v>
      </c>
      <c r="H39" s="48">
        <f t="shared" si="13"/>
        <v>128238300</v>
      </c>
      <c r="I39" s="48">
        <f t="shared" si="13"/>
        <v>121706600</v>
      </c>
      <c r="J39" s="48">
        <f t="shared" si="13"/>
        <v>125942800</v>
      </c>
      <c r="K39" s="48">
        <f t="shared" si="13"/>
        <v>125997800</v>
      </c>
      <c r="L39" s="48">
        <f t="shared" si="13"/>
        <v>126437700</v>
      </c>
    </row>
    <row r="40" spans="1:12" ht="8.4499999999999993" customHeight="1" thickTop="1" x14ac:dyDescent="0.2">
      <c r="A40" s="36"/>
      <c r="B40" s="37"/>
      <c r="C40" s="37"/>
      <c r="D40" s="50"/>
      <c r="E40" s="50"/>
      <c r="F40" s="50"/>
      <c r="G40" s="51"/>
      <c r="H40" s="51"/>
      <c r="I40" s="51"/>
      <c r="J40" s="51"/>
      <c r="K40" s="51"/>
      <c r="L40" s="51"/>
    </row>
    <row r="41" spans="1:12" ht="15" customHeight="1" x14ac:dyDescent="0.2">
      <c r="A41" s="36"/>
      <c r="B41" s="50"/>
      <c r="C41" s="50"/>
      <c r="D41" s="50"/>
      <c r="E41" s="52" t="s">
        <v>33</v>
      </c>
      <c r="F41" s="52"/>
      <c r="G41" s="52"/>
      <c r="H41" s="52"/>
      <c r="I41" s="52"/>
      <c r="J41" s="52"/>
      <c r="K41" s="52"/>
      <c r="L41" s="52"/>
    </row>
    <row r="42" spans="1:12" x14ac:dyDescent="0.2">
      <c r="A42" s="36"/>
      <c r="B42" s="50"/>
      <c r="C42" s="50"/>
      <c r="D42" s="50"/>
      <c r="E42" s="52" t="s">
        <v>34</v>
      </c>
      <c r="F42" s="52"/>
      <c r="G42" s="52"/>
      <c r="H42" s="52"/>
      <c r="I42" s="52"/>
      <c r="J42" s="52"/>
      <c r="K42" s="52"/>
      <c r="L42" s="52"/>
    </row>
    <row r="43" spans="1:12" ht="34.5" thickBot="1" x14ac:dyDescent="0.25">
      <c r="A43" s="36"/>
      <c r="B43" s="53"/>
      <c r="C43" s="53"/>
      <c r="D43" s="53" t="s">
        <v>35</v>
      </c>
      <c r="E43" s="54"/>
      <c r="F43" s="54"/>
      <c r="G43" s="15" t="str">
        <f t="shared" ref="G43:L43" si="14">G3</f>
        <v>Actuals           2014-2015</v>
      </c>
      <c r="H43" s="15" t="str">
        <f t="shared" si="14"/>
        <v>Approved Estimates          2015-2016</v>
      </c>
      <c r="I43" s="15" t="str">
        <f t="shared" si="14"/>
        <v>Revised Estimates                 2015-2016</v>
      </c>
      <c r="J43" s="15" t="str">
        <f t="shared" si="14"/>
        <v>Budget Estimates      2016-2017</v>
      </c>
      <c r="K43" s="15" t="str">
        <f t="shared" si="14"/>
        <v>Forward Estimates     2017-2018</v>
      </c>
      <c r="L43" s="15" t="str">
        <f t="shared" si="14"/>
        <v>Forward Estimates     2018-2019</v>
      </c>
    </row>
    <row r="44" spans="1:12" x14ac:dyDescent="0.2">
      <c r="A44" s="36"/>
      <c r="B44" s="37" t="s">
        <v>36</v>
      </c>
      <c r="C44" s="37"/>
      <c r="D44" s="50" t="s">
        <v>37</v>
      </c>
      <c r="E44" s="50"/>
      <c r="F44" s="50"/>
      <c r="G44" s="55">
        <f>G102</f>
        <v>5517163.5300000003</v>
      </c>
      <c r="H44" s="55">
        <f t="shared" ref="H44:L45" si="15">H102</f>
        <v>6051200</v>
      </c>
      <c r="I44" s="55">
        <f t="shared" si="15"/>
        <v>5944100</v>
      </c>
      <c r="J44" s="55">
        <f t="shared" si="15"/>
        <v>6266700</v>
      </c>
      <c r="K44" s="55">
        <f t="shared" si="15"/>
        <v>6340600</v>
      </c>
      <c r="L44" s="55">
        <f t="shared" si="15"/>
        <v>6448100</v>
      </c>
    </row>
    <row r="45" spans="1:12" x14ac:dyDescent="0.2">
      <c r="A45" s="36"/>
      <c r="B45" s="37" t="s">
        <v>38</v>
      </c>
      <c r="C45" s="37"/>
      <c r="D45" s="50" t="s">
        <v>39</v>
      </c>
      <c r="E45" s="50"/>
      <c r="F45" s="50"/>
      <c r="G45" s="55">
        <f>G103</f>
        <v>1655116.58</v>
      </c>
      <c r="H45" s="55">
        <f t="shared" si="15"/>
        <v>1682700</v>
      </c>
      <c r="I45" s="55">
        <f t="shared" si="15"/>
        <v>1551800</v>
      </c>
      <c r="J45" s="55">
        <f t="shared" si="15"/>
        <v>1739100</v>
      </c>
      <c r="K45" s="55">
        <f t="shared" si="15"/>
        <v>1768300</v>
      </c>
      <c r="L45" s="55">
        <f t="shared" si="15"/>
        <v>1757000</v>
      </c>
    </row>
    <row r="46" spans="1:12" x14ac:dyDescent="0.2">
      <c r="A46" s="36"/>
      <c r="B46" s="37" t="s">
        <v>40</v>
      </c>
      <c r="C46" s="37"/>
      <c r="D46" s="50" t="s">
        <v>41</v>
      </c>
      <c r="E46" s="50"/>
      <c r="F46" s="50"/>
      <c r="G46" s="55">
        <f t="shared" ref="G46:L58" si="16">G104</f>
        <v>308218.84999999998</v>
      </c>
      <c r="H46" s="55">
        <f t="shared" si="16"/>
        <v>330900</v>
      </c>
      <c r="I46" s="55">
        <f t="shared" si="16"/>
        <v>309200</v>
      </c>
      <c r="J46" s="55">
        <f t="shared" si="16"/>
        <v>339200</v>
      </c>
      <c r="K46" s="55">
        <f t="shared" si="16"/>
        <v>359200</v>
      </c>
      <c r="L46" s="55">
        <f t="shared" si="16"/>
        <v>341600</v>
      </c>
    </row>
    <row r="47" spans="1:12" x14ac:dyDescent="0.2">
      <c r="A47" s="36"/>
      <c r="B47" s="37" t="s">
        <v>42</v>
      </c>
      <c r="C47" s="37"/>
      <c r="D47" s="50" t="s">
        <v>43</v>
      </c>
      <c r="E47" s="50"/>
      <c r="F47" s="50"/>
      <c r="G47" s="55">
        <f t="shared" si="16"/>
        <v>656476.92999999993</v>
      </c>
      <c r="H47" s="55">
        <f t="shared" si="16"/>
        <v>690300</v>
      </c>
      <c r="I47" s="55">
        <f t="shared" si="16"/>
        <v>626500</v>
      </c>
      <c r="J47" s="55">
        <f t="shared" si="16"/>
        <v>712900</v>
      </c>
      <c r="K47" s="55">
        <f t="shared" si="16"/>
        <v>795400</v>
      </c>
      <c r="L47" s="55">
        <f t="shared" si="16"/>
        <v>781900</v>
      </c>
    </row>
    <row r="48" spans="1:12" x14ac:dyDescent="0.2">
      <c r="A48" s="36"/>
      <c r="B48" s="37">
        <v>10</v>
      </c>
      <c r="C48" s="37"/>
      <c r="D48" s="50" t="s">
        <v>44</v>
      </c>
      <c r="E48" s="50"/>
      <c r="F48" s="50"/>
      <c r="G48" s="55">
        <f t="shared" si="16"/>
        <v>2431559.9299999997</v>
      </c>
      <c r="H48" s="55">
        <f t="shared" si="16"/>
        <v>2773200</v>
      </c>
      <c r="I48" s="55">
        <f t="shared" si="16"/>
        <v>2773200</v>
      </c>
      <c r="J48" s="55">
        <f t="shared" si="16"/>
        <v>1473400</v>
      </c>
      <c r="K48" s="55">
        <f t="shared" si="16"/>
        <v>1486300</v>
      </c>
      <c r="L48" s="55">
        <f t="shared" si="16"/>
        <v>1483200</v>
      </c>
    </row>
    <row r="49" spans="1:12" x14ac:dyDescent="0.2">
      <c r="A49" s="36"/>
      <c r="B49" s="37">
        <v>11</v>
      </c>
      <c r="C49" s="37"/>
      <c r="D49" s="50" t="s">
        <v>45</v>
      </c>
      <c r="E49" s="50"/>
      <c r="F49" s="50"/>
      <c r="G49" s="55">
        <f t="shared" si="16"/>
        <v>0</v>
      </c>
      <c r="H49" s="55">
        <f t="shared" si="16"/>
        <v>0</v>
      </c>
      <c r="I49" s="55">
        <f t="shared" si="16"/>
        <v>0</v>
      </c>
      <c r="J49" s="55">
        <f t="shared" si="16"/>
        <v>1258000</v>
      </c>
      <c r="K49" s="55">
        <f t="shared" si="16"/>
        <v>1305900</v>
      </c>
      <c r="L49" s="55">
        <f t="shared" si="16"/>
        <v>1316700</v>
      </c>
    </row>
    <row r="50" spans="1:12" x14ac:dyDescent="0.2">
      <c r="A50" s="36"/>
      <c r="B50" s="37">
        <v>12</v>
      </c>
      <c r="C50" s="37"/>
      <c r="D50" s="50" t="s">
        <v>46</v>
      </c>
      <c r="E50" s="50"/>
      <c r="F50" s="50"/>
      <c r="G50" s="55">
        <f t="shared" si="16"/>
        <v>28223099.439999998</v>
      </c>
      <c r="H50" s="55">
        <f t="shared" si="16"/>
        <v>31739100</v>
      </c>
      <c r="I50" s="55">
        <f t="shared" si="16"/>
        <v>30647200</v>
      </c>
      <c r="J50" s="55">
        <f t="shared" si="16"/>
        <v>31387900</v>
      </c>
      <c r="K50" s="55">
        <f t="shared" si="16"/>
        <v>31573700</v>
      </c>
      <c r="L50" s="55">
        <f t="shared" si="16"/>
        <v>31621900</v>
      </c>
    </row>
    <row r="51" spans="1:12" x14ac:dyDescent="0.2">
      <c r="A51" s="36"/>
      <c r="B51" s="37">
        <v>13</v>
      </c>
      <c r="C51" s="37"/>
      <c r="D51" s="50" t="s">
        <v>47</v>
      </c>
      <c r="E51" s="50"/>
      <c r="F51" s="50"/>
      <c r="G51" s="55">
        <f t="shared" si="16"/>
        <v>529178.82000000007</v>
      </c>
      <c r="H51" s="55">
        <f t="shared" si="16"/>
        <v>629700</v>
      </c>
      <c r="I51" s="55">
        <f t="shared" si="16"/>
        <v>524300</v>
      </c>
      <c r="J51" s="55">
        <f t="shared" si="16"/>
        <v>649200</v>
      </c>
      <c r="K51" s="55">
        <f t="shared" si="16"/>
        <v>677100</v>
      </c>
      <c r="L51" s="55">
        <f t="shared" si="16"/>
        <v>681200</v>
      </c>
    </row>
    <row r="52" spans="1:12" x14ac:dyDescent="0.2">
      <c r="A52" s="36"/>
      <c r="B52" s="37">
        <v>15</v>
      </c>
      <c r="C52" s="37"/>
      <c r="D52" s="50" t="s">
        <v>48</v>
      </c>
      <c r="E52" s="50"/>
      <c r="F52" s="50"/>
      <c r="G52" s="55">
        <f t="shared" si="16"/>
        <v>11045515.780000001</v>
      </c>
      <c r="H52" s="55">
        <f t="shared" si="16"/>
        <v>12465000</v>
      </c>
      <c r="I52" s="55">
        <f t="shared" si="16"/>
        <v>12758700</v>
      </c>
      <c r="J52" s="55">
        <f t="shared" si="16"/>
        <v>11757500</v>
      </c>
      <c r="K52" s="55">
        <f t="shared" si="16"/>
        <v>11815700</v>
      </c>
      <c r="L52" s="55">
        <f t="shared" si="16"/>
        <v>11820000</v>
      </c>
    </row>
    <row r="53" spans="1:12" x14ac:dyDescent="0.2">
      <c r="A53" s="36"/>
      <c r="B53" s="37">
        <v>17</v>
      </c>
      <c r="C53" s="37"/>
      <c r="D53" s="50" t="s">
        <v>49</v>
      </c>
      <c r="E53" s="50"/>
      <c r="F53" s="50"/>
      <c r="G53" s="55">
        <f t="shared" si="16"/>
        <v>3826674.7</v>
      </c>
      <c r="H53" s="55">
        <f t="shared" si="16"/>
        <v>0</v>
      </c>
      <c r="I53" s="55">
        <f t="shared" si="16"/>
        <v>0</v>
      </c>
      <c r="J53" s="55">
        <f t="shared" si="16"/>
        <v>0</v>
      </c>
      <c r="K53" s="55">
        <f t="shared" si="16"/>
        <v>0</v>
      </c>
      <c r="L53" s="55">
        <f t="shared" si="16"/>
        <v>0</v>
      </c>
    </row>
    <row r="54" spans="1:12" x14ac:dyDescent="0.2">
      <c r="A54" s="36"/>
      <c r="B54" s="37">
        <v>20</v>
      </c>
      <c r="C54" s="37"/>
      <c r="D54" s="50" t="s">
        <v>50</v>
      </c>
      <c r="E54" s="50"/>
      <c r="F54" s="50"/>
      <c r="G54" s="55">
        <f t="shared" si="16"/>
        <v>16908097.84</v>
      </c>
      <c r="H54" s="55">
        <f t="shared" si="16"/>
        <v>14218300</v>
      </c>
      <c r="I54" s="55">
        <f t="shared" si="16"/>
        <v>11678200</v>
      </c>
      <c r="J54" s="55">
        <f t="shared" si="16"/>
        <v>12661800</v>
      </c>
      <c r="K54" s="55">
        <f t="shared" si="16"/>
        <v>12829900</v>
      </c>
      <c r="L54" s="55">
        <f t="shared" si="16"/>
        <v>12910400</v>
      </c>
    </row>
    <row r="55" spans="1:12" x14ac:dyDescent="0.2">
      <c r="A55" s="36"/>
      <c r="B55" s="37">
        <v>30</v>
      </c>
      <c r="C55" s="37"/>
      <c r="D55" s="50" t="s">
        <v>51</v>
      </c>
      <c r="E55" s="50"/>
      <c r="F55" s="50"/>
      <c r="G55" s="55">
        <f t="shared" si="16"/>
        <v>4848774.6500000004</v>
      </c>
      <c r="H55" s="55">
        <f t="shared" si="16"/>
        <v>6003800</v>
      </c>
      <c r="I55" s="55">
        <f t="shared" si="16"/>
        <v>5685400</v>
      </c>
      <c r="J55" s="55">
        <f t="shared" si="16"/>
        <v>6418100</v>
      </c>
      <c r="K55" s="55">
        <f t="shared" si="16"/>
        <v>6649500</v>
      </c>
      <c r="L55" s="55">
        <f t="shared" si="16"/>
        <v>6650000</v>
      </c>
    </row>
    <row r="56" spans="1:12" x14ac:dyDescent="0.2">
      <c r="A56" s="36"/>
      <c r="B56" s="37">
        <v>35</v>
      </c>
      <c r="C56" s="37"/>
      <c r="D56" s="50" t="s">
        <v>52</v>
      </c>
      <c r="E56" s="50"/>
      <c r="F56" s="50"/>
      <c r="G56" s="55">
        <f t="shared" si="16"/>
        <v>19367039.73</v>
      </c>
      <c r="H56" s="55">
        <f t="shared" si="16"/>
        <v>20710900</v>
      </c>
      <c r="I56" s="55">
        <f t="shared" si="16"/>
        <v>19718000</v>
      </c>
      <c r="J56" s="55">
        <f t="shared" si="16"/>
        <v>19711400</v>
      </c>
      <c r="K56" s="55">
        <f t="shared" si="16"/>
        <v>19871900</v>
      </c>
      <c r="L56" s="55">
        <f t="shared" si="16"/>
        <v>19982600</v>
      </c>
    </row>
    <row r="57" spans="1:12" x14ac:dyDescent="0.2">
      <c r="A57" s="36"/>
      <c r="B57" s="37">
        <v>40</v>
      </c>
      <c r="C57" s="37"/>
      <c r="D57" s="50" t="s">
        <v>53</v>
      </c>
      <c r="E57" s="50"/>
      <c r="F57" s="50"/>
      <c r="G57" s="55">
        <f t="shared" si="16"/>
        <v>8390682.1799999997</v>
      </c>
      <c r="H57" s="55">
        <f t="shared" si="16"/>
        <v>9977000</v>
      </c>
      <c r="I57" s="55">
        <f t="shared" si="16"/>
        <v>9934300</v>
      </c>
      <c r="J57" s="55">
        <f t="shared" si="16"/>
        <v>10877300</v>
      </c>
      <c r="K57" s="55">
        <f t="shared" si="16"/>
        <v>11055300</v>
      </c>
      <c r="L57" s="55">
        <f t="shared" si="16"/>
        <v>11120000</v>
      </c>
    </row>
    <row r="58" spans="1:12" x14ac:dyDescent="0.2">
      <c r="A58" s="36"/>
      <c r="B58" s="37">
        <v>45</v>
      </c>
      <c r="C58" s="37"/>
      <c r="D58" s="56" t="s">
        <v>54</v>
      </c>
      <c r="E58" s="50"/>
      <c r="F58" s="50"/>
      <c r="G58" s="55">
        <f t="shared" si="16"/>
        <v>15969282.74</v>
      </c>
      <c r="H58" s="55">
        <f t="shared" si="16"/>
        <v>20966200</v>
      </c>
      <c r="I58" s="55">
        <f t="shared" si="16"/>
        <v>21077600</v>
      </c>
      <c r="J58" s="55">
        <f t="shared" si="16"/>
        <v>21350300</v>
      </c>
      <c r="K58" s="55">
        <f t="shared" si="16"/>
        <v>19469000</v>
      </c>
      <c r="L58" s="55">
        <f t="shared" si="16"/>
        <v>19523100</v>
      </c>
    </row>
    <row r="59" spans="1:12" ht="13.5" thickBot="1" x14ac:dyDescent="0.25">
      <c r="A59" s="36"/>
      <c r="B59" s="50"/>
      <c r="C59" s="50"/>
      <c r="D59" s="50"/>
      <c r="E59" s="49" t="s">
        <v>55</v>
      </c>
      <c r="F59" s="50"/>
      <c r="G59" s="57">
        <f t="shared" ref="G59:L59" si="17">SUM(G44:G58)</f>
        <v>119676881.7</v>
      </c>
      <c r="H59" s="57">
        <f t="shared" si="17"/>
        <v>128238300</v>
      </c>
      <c r="I59" s="57">
        <f t="shared" si="17"/>
        <v>123228500</v>
      </c>
      <c r="J59" s="57">
        <f>SUM(J44:J58)</f>
        <v>126602800</v>
      </c>
      <c r="K59" s="57">
        <f t="shared" si="17"/>
        <v>125997800</v>
      </c>
      <c r="L59" s="57">
        <f t="shared" si="17"/>
        <v>126437700</v>
      </c>
    </row>
    <row r="60" spans="1:12" x14ac:dyDescent="0.2">
      <c r="A60" s="36"/>
      <c r="B60" s="50"/>
      <c r="C60" s="50"/>
      <c r="D60" s="50"/>
      <c r="E60" s="50"/>
      <c r="F60" s="50"/>
      <c r="G60" s="58"/>
      <c r="H60" s="58"/>
      <c r="I60" s="58"/>
      <c r="J60" s="58"/>
      <c r="K60" s="58"/>
      <c r="L60" s="58"/>
    </row>
    <row r="61" spans="1:12" ht="15" customHeight="1" x14ac:dyDescent="0.2">
      <c r="A61" s="36"/>
      <c r="B61" s="50"/>
      <c r="C61" s="50"/>
      <c r="D61" s="10" t="s">
        <v>56</v>
      </c>
      <c r="E61" s="10"/>
      <c r="F61" s="10"/>
      <c r="G61" s="10"/>
      <c r="H61" s="10"/>
      <c r="I61" s="10"/>
      <c r="J61" s="10"/>
      <c r="K61" s="10"/>
      <c r="L61" s="10"/>
    </row>
    <row r="62" spans="1:12" ht="34.5" thickBot="1" x14ac:dyDescent="0.25">
      <c r="A62" s="36"/>
      <c r="B62" s="59"/>
      <c r="C62" s="59"/>
      <c r="D62" s="59" t="s">
        <v>57</v>
      </c>
      <c r="E62" s="59"/>
      <c r="F62" s="59"/>
      <c r="G62" s="15" t="str">
        <f t="shared" ref="G62:L62" si="18">G25</f>
        <v>Actuals           2014-2015</v>
      </c>
      <c r="H62" s="15" t="str">
        <f t="shared" si="18"/>
        <v>Approved Estimates          2015-2016</v>
      </c>
      <c r="I62" s="15" t="str">
        <f t="shared" si="18"/>
        <v>Revised Estimates                 2015-2016</v>
      </c>
      <c r="J62" s="15" t="str">
        <f t="shared" si="18"/>
        <v>Budget Estimates      2016-2017</v>
      </c>
      <c r="K62" s="15" t="str">
        <f t="shared" si="18"/>
        <v>Forward Estimates     2017-2018</v>
      </c>
      <c r="L62" s="15" t="str">
        <f t="shared" si="18"/>
        <v>Forward Estimates     2018-2019</v>
      </c>
    </row>
    <row r="63" spans="1:12" x14ac:dyDescent="0.2">
      <c r="A63" s="36"/>
      <c r="B63" s="37" t="s">
        <v>36</v>
      </c>
      <c r="C63" s="37"/>
      <c r="D63" s="50" t="s">
        <v>58</v>
      </c>
      <c r="E63" s="50"/>
      <c r="F63" s="50"/>
      <c r="G63" s="60">
        <f>'05'!E28</f>
        <v>274075</v>
      </c>
      <c r="H63" s="60">
        <f>'05'!F28</f>
        <v>282600</v>
      </c>
      <c r="I63" s="60">
        <f>'05'!G28</f>
        <v>148100</v>
      </c>
      <c r="J63" s="60">
        <f>'05'!H28</f>
        <v>282600</v>
      </c>
      <c r="K63" s="60">
        <f>'05'!I28</f>
        <v>282600</v>
      </c>
      <c r="L63" s="60">
        <f>'05'!J28</f>
        <v>282600</v>
      </c>
    </row>
    <row r="64" spans="1:12" x14ac:dyDescent="0.2">
      <c r="A64" s="36"/>
      <c r="B64" s="37" t="s">
        <v>38</v>
      </c>
      <c r="C64" s="37"/>
      <c r="D64" s="50" t="s">
        <v>39</v>
      </c>
      <c r="E64" s="50"/>
      <c r="F64" s="50"/>
      <c r="G64" s="61">
        <f>'07'!E25</f>
        <v>0</v>
      </c>
      <c r="H64" s="61">
        <f>'07'!F25</f>
        <v>0</v>
      </c>
      <c r="I64" s="61">
        <f>'07'!G25</f>
        <v>0</v>
      </c>
      <c r="J64" s="61">
        <f>'07'!H25</f>
        <v>0</v>
      </c>
      <c r="K64" s="61">
        <f>'07'!I25</f>
        <v>0</v>
      </c>
      <c r="L64" s="61">
        <f>'07'!J25</f>
        <v>0</v>
      </c>
    </row>
    <row r="65" spans="1:12" x14ac:dyDescent="0.2">
      <c r="A65" s="36"/>
      <c r="B65" s="37" t="s">
        <v>40</v>
      </c>
      <c r="C65" s="37"/>
      <c r="D65" s="50" t="s">
        <v>59</v>
      </c>
      <c r="E65" s="50"/>
      <c r="F65" s="50"/>
      <c r="G65" s="61">
        <f>'08'!E22</f>
        <v>46037</v>
      </c>
      <c r="H65" s="61">
        <f>'08'!F22</f>
        <v>40000</v>
      </c>
      <c r="I65" s="61">
        <f>'08'!G22</f>
        <v>46000</v>
      </c>
      <c r="J65" s="61">
        <f>'08'!H22</f>
        <v>40000</v>
      </c>
      <c r="K65" s="61">
        <f>'08'!I22</f>
        <v>40000</v>
      </c>
      <c r="L65" s="61">
        <f>'08'!J22</f>
        <v>40000</v>
      </c>
    </row>
    <row r="66" spans="1:12" x14ac:dyDescent="0.2">
      <c r="A66" s="36"/>
      <c r="B66" s="37" t="s">
        <v>42</v>
      </c>
      <c r="C66" s="37"/>
      <c r="D66" s="50" t="s">
        <v>43</v>
      </c>
      <c r="E66" s="50"/>
      <c r="F66" s="50"/>
      <c r="G66" s="61">
        <f>'09'!E25</f>
        <v>309726.62</v>
      </c>
      <c r="H66" s="61">
        <f>'09'!F25</f>
        <v>15500</v>
      </c>
      <c r="I66" s="61">
        <f>'09'!G25</f>
        <v>44800</v>
      </c>
      <c r="J66" s="61">
        <f>'09'!H25</f>
        <v>15500</v>
      </c>
      <c r="K66" s="61">
        <f>'09'!I25</f>
        <v>15500</v>
      </c>
      <c r="L66" s="61">
        <f>'09'!J25</f>
        <v>15500</v>
      </c>
    </row>
    <row r="67" spans="1:12" x14ac:dyDescent="0.2">
      <c r="A67" s="36"/>
      <c r="B67" s="37">
        <v>10</v>
      </c>
      <c r="C67" s="37"/>
      <c r="D67" s="50" t="s">
        <v>44</v>
      </c>
      <c r="E67" s="50"/>
      <c r="F67" s="50"/>
      <c r="G67" s="61">
        <f>'10'!E25</f>
        <v>3872.45</v>
      </c>
      <c r="H67" s="61">
        <f>'10'!F25</f>
        <v>25800</v>
      </c>
      <c r="I67" s="61">
        <f>'10'!G25</f>
        <v>25800</v>
      </c>
      <c r="J67" s="61">
        <f>'10'!H25</f>
        <v>800</v>
      </c>
      <c r="K67" s="61">
        <f>'10'!I25</f>
        <v>800</v>
      </c>
      <c r="L67" s="61">
        <f>'10'!J25</f>
        <v>800</v>
      </c>
    </row>
    <row r="68" spans="1:12" x14ac:dyDescent="0.2">
      <c r="A68" s="36"/>
      <c r="B68" s="37">
        <v>11</v>
      </c>
      <c r="C68" s="37"/>
      <c r="D68" s="50" t="s">
        <v>45</v>
      </c>
      <c r="E68" s="50"/>
      <c r="F68" s="50"/>
      <c r="G68" s="55">
        <f>'11'!E22</f>
        <v>0</v>
      </c>
      <c r="H68" s="55">
        <f>'11'!F22</f>
        <v>0</v>
      </c>
      <c r="I68" s="55">
        <f>'11'!G22</f>
        <v>0</v>
      </c>
      <c r="J68" s="55">
        <f>'11'!H22</f>
        <v>25000</v>
      </c>
      <c r="K68" s="55">
        <f>'11'!I22</f>
        <v>25000</v>
      </c>
      <c r="L68" s="55">
        <f>'11'!J22</f>
        <v>25000</v>
      </c>
    </row>
    <row r="69" spans="1:12" x14ac:dyDescent="0.2">
      <c r="A69" s="36"/>
      <c r="B69" s="37">
        <v>12</v>
      </c>
      <c r="C69" s="37"/>
      <c r="D69" s="50" t="s">
        <v>46</v>
      </c>
      <c r="E69" s="50"/>
      <c r="F69" s="50"/>
      <c r="G69" s="61">
        <f>'12'!E42</f>
        <v>362595</v>
      </c>
      <c r="H69" s="61">
        <f>'12'!F42</f>
        <v>219300</v>
      </c>
      <c r="I69" s="61">
        <f>'12'!G42</f>
        <v>229400</v>
      </c>
      <c r="J69" s="61">
        <f>'12'!H42</f>
        <v>271100</v>
      </c>
      <c r="K69" s="61">
        <f>'12'!I42</f>
        <v>271100</v>
      </c>
      <c r="L69" s="61">
        <f>'12'!J42</f>
        <v>271100</v>
      </c>
    </row>
    <row r="70" spans="1:12" x14ac:dyDescent="0.2">
      <c r="A70" s="36"/>
      <c r="B70" s="37">
        <v>13</v>
      </c>
      <c r="C70" s="37"/>
      <c r="D70" s="50" t="s">
        <v>47</v>
      </c>
      <c r="E70" s="50"/>
      <c r="F70" s="50"/>
      <c r="G70" s="61">
        <f>'13'!E26</f>
        <v>0</v>
      </c>
      <c r="H70" s="61">
        <f>'13'!F26</f>
        <v>0</v>
      </c>
      <c r="I70" s="61">
        <f>'13'!G26</f>
        <v>0</v>
      </c>
      <c r="J70" s="61">
        <f>'13'!H26</f>
        <v>0</v>
      </c>
      <c r="K70" s="61">
        <f>'13'!I26</f>
        <v>0</v>
      </c>
      <c r="L70" s="61">
        <f>'13'!J26</f>
        <v>0</v>
      </c>
    </row>
    <row r="71" spans="1:12" x14ac:dyDescent="0.2">
      <c r="A71" s="36"/>
      <c r="B71" s="37">
        <v>15</v>
      </c>
      <c r="C71" s="37"/>
      <c r="D71" s="50" t="s">
        <v>48</v>
      </c>
      <c r="E71" s="50"/>
      <c r="F71" s="50"/>
      <c r="G71" s="61">
        <f>'15'!E30</f>
        <v>10173.75</v>
      </c>
      <c r="H71" s="61">
        <f>'15'!F30</f>
        <v>150000</v>
      </c>
      <c r="I71" s="61">
        <f>'15'!G30</f>
        <v>192200</v>
      </c>
      <c r="J71" s="61">
        <f>'15'!H30</f>
        <v>150000</v>
      </c>
      <c r="K71" s="61">
        <f>'15'!I30</f>
        <v>150000</v>
      </c>
      <c r="L71" s="61">
        <f>'15'!J30</f>
        <v>150000</v>
      </c>
    </row>
    <row r="72" spans="1:12" x14ac:dyDescent="0.2">
      <c r="A72" s="36"/>
      <c r="B72" s="37">
        <v>17</v>
      </c>
      <c r="C72" s="37"/>
      <c r="D72" s="50" t="s">
        <v>49</v>
      </c>
      <c r="E72" s="50"/>
      <c r="F72" s="50"/>
      <c r="G72" s="61">
        <f>'17'!E38</f>
        <v>203712.86000000004</v>
      </c>
      <c r="H72" s="61">
        <f>'17'!F38</f>
        <v>0</v>
      </c>
      <c r="I72" s="61">
        <f>'17'!G38</f>
        <v>0</v>
      </c>
      <c r="J72" s="61">
        <f>'17'!H38</f>
        <v>0</v>
      </c>
      <c r="K72" s="61">
        <f>'17'!I38</f>
        <v>0</v>
      </c>
      <c r="L72" s="61">
        <f>'17'!J38</f>
        <v>0</v>
      </c>
    </row>
    <row r="73" spans="1:12" x14ac:dyDescent="0.2">
      <c r="A73" s="36"/>
      <c r="B73" s="37">
        <v>20</v>
      </c>
      <c r="C73" s="37"/>
      <c r="D73" s="50" t="s">
        <v>50</v>
      </c>
      <c r="E73" s="50"/>
      <c r="F73" s="50"/>
      <c r="G73" s="61">
        <f>'20'!E33</f>
        <v>114375903.67999998</v>
      </c>
      <c r="H73" s="61">
        <f>'20'!F33</f>
        <v>120138500</v>
      </c>
      <c r="I73" s="61">
        <f>'20'!G33</f>
        <v>115934500</v>
      </c>
      <c r="J73" s="61">
        <f>'20'!H33</f>
        <v>119149600</v>
      </c>
      <c r="K73" s="61">
        <f>'20'!I33</f>
        <v>119219800</v>
      </c>
      <c r="L73" s="61">
        <f>'20'!J33</f>
        <v>119659600</v>
      </c>
    </row>
    <row r="74" spans="1:12" x14ac:dyDescent="0.2">
      <c r="A74" s="36"/>
      <c r="B74" s="37">
        <v>30</v>
      </c>
      <c r="C74" s="37"/>
      <c r="D74" s="50" t="s">
        <v>51</v>
      </c>
      <c r="E74" s="50"/>
      <c r="F74" s="50"/>
      <c r="G74" s="61">
        <f>'30'!E46</f>
        <v>1517037.27</v>
      </c>
      <c r="H74" s="61">
        <f>'30'!F46</f>
        <v>1029400</v>
      </c>
      <c r="I74" s="61">
        <f>'30'!G46</f>
        <v>780100</v>
      </c>
      <c r="J74" s="61">
        <f>'30'!H46</f>
        <v>1073600</v>
      </c>
      <c r="K74" s="61">
        <f>'30'!I46</f>
        <v>1073600</v>
      </c>
      <c r="L74" s="61">
        <f>'30'!J46</f>
        <v>1073700</v>
      </c>
    </row>
    <row r="75" spans="1:12" x14ac:dyDescent="0.2">
      <c r="A75" s="36"/>
      <c r="B75" s="37">
        <v>35</v>
      </c>
      <c r="C75" s="37"/>
      <c r="D75" s="50" t="s">
        <v>52</v>
      </c>
      <c r="E75" s="50"/>
      <c r="F75" s="50"/>
      <c r="G75" s="61">
        <f>'35'!E32</f>
        <v>3546750.41</v>
      </c>
      <c r="H75" s="61">
        <f>'35'!F32</f>
        <v>5521400</v>
      </c>
      <c r="I75" s="61">
        <f>'35'!G32</f>
        <v>3518200</v>
      </c>
      <c r="J75" s="61">
        <f>'35'!H32</f>
        <v>4048800</v>
      </c>
      <c r="K75" s="61">
        <f>'35'!I32</f>
        <v>4023600</v>
      </c>
      <c r="L75" s="61">
        <f>'35'!J32</f>
        <v>4023600</v>
      </c>
    </row>
    <row r="76" spans="1:12" x14ac:dyDescent="0.2">
      <c r="A76" s="36"/>
      <c r="B76" s="37">
        <v>40</v>
      </c>
      <c r="C76" s="37"/>
      <c r="D76" s="50" t="s">
        <v>53</v>
      </c>
      <c r="E76" s="50"/>
      <c r="F76" s="50"/>
      <c r="G76" s="61">
        <f>'40'!E34</f>
        <v>362201.76</v>
      </c>
      <c r="H76" s="61">
        <f>'40'!F34</f>
        <v>360000</v>
      </c>
      <c r="I76" s="61">
        <f>'40'!G34</f>
        <v>293600</v>
      </c>
      <c r="J76" s="61">
        <f>'40'!H34</f>
        <v>380000</v>
      </c>
      <c r="K76" s="61">
        <f>'40'!I34</f>
        <v>390000</v>
      </c>
      <c r="L76" s="61">
        <f>'40'!J34</f>
        <v>390000</v>
      </c>
    </row>
    <row r="77" spans="1:12" x14ac:dyDescent="0.2">
      <c r="A77" s="36"/>
      <c r="B77" s="37">
        <v>45</v>
      </c>
      <c r="C77" s="37"/>
      <c r="D77" s="56" t="s">
        <v>54</v>
      </c>
      <c r="E77" s="50"/>
      <c r="F77" s="50"/>
      <c r="G77" s="61">
        <f>'45'!E31</f>
        <v>400819.48000000004</v>
      </c>
      <c r="H77" s="61">
        <f>'45'!F31</f>
        <v>455800</v>
      </c>
      <c r="I77" s="61">
        <f>'45'!G31</f>
        <v>493900</v>
      </c>
      <c r="J77" s="61">
        <f>'45'!H31</f>
        <v>505800</v>
      </c>
      <c r="K77" s="61">
        <f>'45'!I31</f>
        <v>505800</v>
      </c>
      <c r="L77" s="61">
        <f>'45'!J31</f>
        <v>505800</v>
      </c>
    </row>
    <row r="78" spans="1:12" ht="13.5" thickBot="1" x14ac:dyDescent="0.25">
      <c r="A78" s="36"/>
      <c r="B78" s="50"/>
      <c r="C78" s="50"/>
      <c r="D78" s="50"/>
      <c r="E78" s="49" t="s">
        <v>60</v>
      </c>
      <c r="F78" s="50"/>
      <c r="G78" s="62">
        <f t="shared" ref="G78:L78" si="19">SUM(G63:G77)</f>
        <v>121412905.27999999</v>
      </c>
      <c r="H78" s="62">
        <f t="shared" si="19"/>
        <v>128238300</v>
      </c>
      <c r="I78" s="62">
        <f t="shared" si="19"/>
        <v>121706600</v>
      </c>
      <c r="J78" s="62">
        <f t="shared" si="19"/>
        <v>125942800</v>
      </c>
      <c r="K78" s="62">
        <f t="shared" si="19"/>
        <v>125997800</v>
      </c>
      <c r="L78" s="62">
        <f t="shared" si="19"/>
        <v>126437700</v>
      </c>
    </row>
    <row r="79" spans="1:12" ht="13.5" thickTop="1" x14ac:dyDescent="0.2">
      <c r="A79" s="36"/>
      <c r="B79" s="63"/>
      <c r="C79" s="63"/>
      <c r="D79" s="63"/>
      <c r="E79" s="63"/>
      <c r="F79" s="63"/>
      <c r="G79" s="51"/>
      <c r="H79" s="51"/>
      <c r="I79" s="51"/>
      <c r="J79" s="51"/>
      <c r="K79" s="51"/>
      <c r="L79" s="51"/>
    </row>
    <row r="80" spans="1:12" ht="15" customHeight="1" x14ac:dyDescent="0.2">
      <c r="A80" s="36"/>
      <c r="B80" s="50"/>
      <c r="C80" s="50"/>
      <c r="D80" s="10" t="s">
        <v>61</v>
      </c>
      <c r="E80" s="10"/>
      <c r="F80" s="10"/>
      <c r="G80" s="10"/>
      <c r="H80" s="10"/>
      <c r="I80" s="10"/>
      <c r="J80" s="10"/>
      <c r="K80" s="10"/>
      <c r="L80" s="10"/>
    </row>
    <row r="81" spans="1:12" ht="34.5" thickBot="1" x14ac:dyDescent="0.25">
      <c r="A81" s="36"/>
      <c r="B81" s="59"/>
      <c r="C81" s="59"/>
      <c r="D81" s="59" t="s">
        <v>57</v>
      </c>
      <c r="E81" s="59"/>
      <c r="F81" s="59"/>
      <c r="G81" s="15" t="str">
        <f t="shared" ref="G81:L81" si="20">G25</f>
        <v>Actuals           2014-2015</v>
      </c>
      <c r="H81" s="15" t="str">
        <f t="shared" si="20"/>
        <v>Approved Estimates          2015-2016</v>
      </c>
      <c r="I81" s="15" t="str">
        <f t="shared" si="20"/>
        <v>Revised Estimates                 2015-2016</v>
      </c>
      <c r="J81" s="15" t="str">
        <f t="shared" si="20"/>
        <v>Budget Estimates      2016-2017</v>
      </c>
      <c r="K81" s="15" t="str">
        <f t="shared" si="20"/>
        <v>Forward Estimates     2017-2018</v>
      </c>
      <c r="L81" s="15" t="str">
        <f t="shared" si="20"/>
        <v>Forward Estimates     2018-2019</v>
      </c>
    </row>
    <row r="82" spans="1:12" hidden="1" x14ac:dyDescent="0.2">
      <c r="A82" s="36"/>
      <c r="B82" s="37" t="s">
        <v>62</v>
      </c>
      <c r="C82" s="37"/>
      <c r="D82" s="50" t="s">
        <v>63</v>
      </c>
      <c r="E82" s="38"/>
      <c r="F82" s="50"/>
      <c r="G82" s="60">
        <v>0</v>
      </c>
      <c r="H82" s="60">
        <v>0</v>
      </c>
      <c r="I82" s="60">
        <v>0</v>
      </c>
      <c r="J82" s="60">
        <v>0</v>
      </c>
      <c r="K82" s="60">
        <v>0</v>
      </c>
      <c r="L82" s="60">
        <v>0</v>
      </c>
    </row>
    <row r="83" spans="1:12" hidden="1" x14ac:dyDescent="0.2">
      <c r="A83" s="36"/>
      <c r="B83" s="37" t="s">
        <v>36</v>
      </c>
      <c r="C83" s="37"/>
      <c r="D83" s="50" t="s">
        <v>58</v>
      </c>
      <c r="E83" s="50"/>
      <c r="F83" s="50"/>
      <c r="G83" s="61">
        <f>'05'!E48</f>
        <v>0</v>
      </c>
      <c r="H83" s="61">
        <f>'05'!F48</f>
        <v>0</v>
      </c>
      <c r="I83" s="61">
        <f>'05'!G48</f>
        <v>0</v>
      </c>
      <c r="J83" s="61">
        <f>'05'!H48</f>
        <v>0</v>
      </c>
      <c r="K83" s="61">
        <f>'05'!I48</f>
        <v>0</v>
      </c>
      <c r="L83" s="61">
        <f>'05'!J48</f>
        <v>0</v>
      </c>
    </row>
    <row r="84" spans="1:12" hidden="1" x14ac:dyDescent="0.2">
      <c r="A84" s="36"/>
      <c r="B84" s="37" t="s">
        <v>38</v>
      </c>
      <c r="C84" s="37"/>
      <c r="D84" s="50" t="s">
        <v>39</v>
      </c>
      <c r="E84" s="50"/>
      <c r="F84" s="50"/>
      <c r="G84" s="61">
        <f>'07'!E43</f>
        <v>0</v>
      </c>
      <c r="H84" s="61">
        <f>'07'!F43</f>
        <v>0</v>
      </c>
      <c r="I84" s="61">
        <f>'07'!G43</f>
        <v>0</v>
      </c>
      <c r="J84" s="61">
        <f>'07'!H43</f>
        <v>0</v>
      </c>
      <c r="K84" s="61">
        <f>'07'!I43</f>
        <v>0</v>
      </c>
      <c r="L84" s="61">
        <f>'07'!J43</f>
        <v>0</v>
      </c>
    </row>
    <row r="85" spans="1:12" hidden="1" x14ac:dyDescent="0.2">
      <c r="A85" s="36"/>
      <c r="B85" s="37" t="s">
        <v>40</v>
      </c>
      <c r="C85" s="37"/>
      <c r="D85" s="50" t="s">
        <v>59</v>
      </c>
      <c r="E85" s="50"/>
      <c r="F85" s="50"/>
      <c r="G85" s="61">
        <f>'08'!E40</f>
        <v>0</v>
      </c>
      <c r="H85" s="61">
        <f>'08'!F40</f>
        <v>0</v>
      </c>
      <c r="I85" s="61">
        <f>'08'!G40</f>
        <v>0</v>
      </c>
      <c r="J85" s="61">
        <f>'08'!H40</f>
        <v>0</v>
      </c>
      <c r="K85" s="61">
        <f>'08'!I40</f>
        <v>0</v>
      </c>
      <c r="L85" s="61">
        <f>'08'!J40</f>
        <v>0</v>
      </c>
    </row>
    <row r="86" spans="1:12" hidden="1" x14ac:dyDescent="0.2">
      <c r="A86" s="36"/>
      <c r="B86" s="37" t="s">
        <v>42</v>
      </c>
      <c r="C86" s="37"/>
      <c r="D86" s="50" t="s">
        <v>43</v>
      </c>
      <c r="E86" s="50"/>
      <c r="F86" s="50"/>
      <c r="G86" s="61">
        <f>'09'!E43</f>
        <v>0</v>
      </c>
      <c r="H86" s="61">
        <f>'09'!F43</f>
        <v>0</v>
      </c>
      <c r="I86" s="61">
        <f>'09'!G43</f>
        <v>0</v>
      </c>
      <c r="J86" s="61">
        <f>'09'!H43</f>
        <v>0</v>
      </c>
      <c r="K86" s="61">
        <f>'09'!I43</f>
        <v>0</v>
      </c>
      <c r="L86" s="61">
        <f>'09'!J43</f>
        <v>0</v>
      </c>
    </row>
    <row r="87" spans="1:12" hidden="1" x14ac:dyDescent="0.2">
      <c r="A87" s="36"/>
      <c r="B87" s="37">
        <v>10</v>
      </c>
      <c r="C87" s="37"/>
      <c r="D87" s="50" t="s">
        <v>44</v>
      </c>
      <c r="E87" s="50"/>
      <c r="F87" s="50"/>
      <c r="G87" s="61">
        <f>'10'!E46</f>
        <v>0</v>
      </c>
      <c r="H87" s="61">
        <f>'10'!F46</f>
        <v>0</v>
      </c>
      <c r="I87" s="61">
        <f>'10'!G46</f>
        <v>0</v>
      </c>
      <c r="J87" s="61">
        <f>'10'!H46</f>
        <v>0</v>
      </c>
      <c r="K87" s="61">
        <f>'10'!I46</f>
        <v>0</v>
      </c>
      <c r="L87" s="61">
        <f>'10'!J46</f>
        <v>0</v>
      </c>
    </row>
    <row r="88" spans="1:12" hidden="1" x14ac:dyDescent="0.2">
      <c r="A88" s="36"/>
      <c r="B88" s="37">
        <v>11</v>
      </c>
      <c r="C88" s="37"/>
      <c r="D88" s="50" t="s">
        <v>45</v>
      </c>
      <c r="E88" s="50"/>
      <c r="F88" s="50"/>
      <c r="G88" s="61"/>
      <c r="H88" s="61"/>
      <c r="I88" s="61"/>
      <c r="J88" s="61"/>
      <c r="K88" s="61"/>
      <c r="L88" s="61"/>
    </row>
    <row r="89" spans="1:12" x14ac:dyDescent="0.2">
      <c r="A89" s="36"/>
      <c r="B89" s="37">
        <v>12</v>
      </c>
      <c r="C89" s="37"/>
      <c r="D89" s="50" t="s">
        <v>46</v>
      </c>
      <c r="E89" s="50"/>
      <c r="F89" s="50"/>
      <c r="G89" s="61">
        <f>'12'!E67</f>
        <v>584200</v>
      </c>
      <c r="H89" s="61">
        <f>'12'!F67</f>
        <v>0</v>
      </c>
      <c r="I89" s="61">
        <f>'12'!G67</f>
        <v>1976300</v>
      </c>
      <c r="J89" s="61">
        <f>'12'!H67</f>
        <v>2480800</v>
      </c>
      <c r="K89" s="61">
        <f>'12'!I67</f>
        <v>0</v>
      </c>
      <c r="L89" s="61">
        <f>'12'!J67</f>
        <v>0</v>
      </c>
    </row>
    <row r="90" spans="1:12" hidden="1" x14ac:dyDescent="0.2">
      <c r="A90" s="36"/>
      <c r="B90" s="37">
        <v>13</v>
      </c>
      <c r="C90" s="37"/>
      <c r="D90" s="50" t="s">
        <v>47</v>
      </c>
      <c r="E90" s="50"/>
      <c r="F90" s="50"/>
      <c r="G90" s="61">
        <f>'13'!E48</f>
        <v>0</v>
      </c>
      <c r="H90" s="61">
        <f>'13'!F48</f>
        <v>0</v>
      </c>
      <c r="I90" s="61">
        <f>'13'!G48</f>
        <v>0</v>
      </c>
      <c r="J90" s="61">
        <f>'13'!H48</f>
        <v>0</v>
      </c>
      <c r="K90" s="61">
        <f>'13'!I48</f>
        <v>0</v>
      </c>
      <c r="L90" s="61">
        <f>'13'!J48</f>
        <v>0</v>
      </c>
    </row>
    <row r="91" spans="1:12" x14ac:dyDescent="0.2">
      <c r="A91" s="36"/>
      <c r="B91" s="37">
        <v>15</v>
      </c>
      <c r="C91" s="37"/>
      <c r="D91" s="50" t="s">
        <v>48</v>
      </c>
      <c r="E91" s="50"/>
      <c r="F91" s="50"/>
      <c r="G91" s="61">
        <f>'15'!E59</f>
        <v>1470600</v>
      </c>
      <c r="H91" s="61">
        <f>'15'!F59</f>
        <v>7930000</v>
      </c>
      <c r="I91" s="61">
        <f>'15'!G59</f>
        <v>9261239</v>
      </c>
      <c r="J91" s="61">
        <f>'15'!H59</f>
        <v>4699400</v>
      </c>
      <c r="K91" s="61">
        <f>'15'!I59</f>
        <v>0</v>
      </c>
      <c r="L91" s="61">
        <f>'15'!J59</f>
        <v>0</v>
      </c>
    </row>
    <row r="92" spans="1:12" x14ac:dyDescent="0.2">
      <c r="A92" s="36"/>
      <c r="B92" s="37">
        <v>17</v>
      </c>
      <c r="C92" s="37"/>
      <c r="D92" s="50" t="s">
        <v>49</v>
      </c>
      <c r="E92" s="50"/>
      <c r="F92" s="50"/>
      <c r="G92" s="61">
        <f>'17'!E62</f>
        <v>5768517.6600000001</v>
      </c>
      <c r="H92" s="61">
        <f>'17'!F62</f>
        <v>0</v>
      </c>
      <c r="I92" s="61">
        <f>'17'!G62</f>
        <v>0</v>
      </c>
      <c r="J92" s="61">
        <f>'17'!H62</f>
        <v>0</v>
      </c>
      <c r="K92" s="61">
        <f>'17'!I62</f>
        <v>0</v>
      </c>
      <c r="L92" s="61">
        <f>'17'!J62</f>
        <v>0</v>
      </c>
    </row>
    <row r="93" spans="1:12" x14ac:dyDescent="0.2">
      <c r="A93" s="36"/>
      <c r="B93" s="37">
        <v>20</v>
      </c>
      <c r="C93" s="37"/>
      <c r="D93" s="50" t="s">
        <v>64</v>
      </c>
      <c r="E93" s="50"/>
      <c r="F93" s="50"/>
      <c r="G93" s="61">
        <f>'20'!E77</f>
        <v>21481762.489999998</v>
      </c>
      <c r="H93" s="61">
        <f>'20'!F77</f>
        <v>25509200</v>
      </c>
      <c r="I93" s="61">
        <f>'20'!G77</f>
        <v>26205500</v>
      </c>
      <c r="J93" s="61">
        <f>'20'!H77</f>
        <v>15034800</v>
      </c>
      <c r="K93" s="61">
        <f>'20'!I77</f>
        <v>849500</v>
      </c>
      <c r="L93" s="61">
        <f>'20'!J77</f>
        <v>0</v>
      </c>
    </row>
    <row r="94" spans="1:12" x14ac:dyDescent="0.2">
      <c r="A94" s="36"/>
      <c r="B94" s="37">
        <v>30</v>
      </c>
      <c r="C94" s="37"/>
      <c r="D94" s="50" t="s">
        <v>65</v>
      </c>
      <c r="E94" s="50"/>
      <c r="F94" s="50"/>
      <c r="G94" s="61">
        <f>'30'!E77</f>
        <v>1608946.53</v>
      </c>
      <c r="H94" s="61">
        <f>'30'!F77</f>
        <v>2707600</v>
      </c>
      <c r="I94" s="61">
        <f>'30'!G77</f>
        <v>5136800</v>
      </c>
      <c r="J94" s="61">
        <f>'30'!H77</f>
        <v>3070400</v>
      </c>
      <c r="K94" s="61">
        <f>'30'!I77</f>
        <v>1299200</v>
      </c>
      <c r="L94" s="61">
        <f>'30'!J77</f>
        <v>0</v>
      </c>
    </row>
    <row r="95" spans="1:12" x14ac:dyDescent="0.2">
      <c r="A95" s="36"/>
      <c r="B95" s="37">
        <v>35</v>
      </c>
      <c r="C95" s="37"/>
      <c r="D95" s="50" t="s">
        <v>66</v>
      </c>
      <c r="E95" s="50"/>
      <c r="F95" s="50"/>
      <c r="G95" s="61">
        <f>'35'!E65</f>
        <v>2782000</v>
      </c>
      <c r="H95" s="61">
        <f>'35'!F65</f>
        <v>7275000</v>
      </c>
      <c r="I95" s="61">
        <f>'35'!G65</f>
        <v>14433400</v>
      </c>
      <c r="J95" s="61">
        <f>'35'!H65</f>
        <v>13088900</v>
      </c>
      <c r="K95" s="61">
        <f>'35'!I65</f>
        <v>1967200</v>
      </c>
      <c r="L95" s="61">
        <f>'35'!J65</f>
        <v>0</v>
      </c>
    </row>
    <row r="96" spans="1:12" x14ac:dyDescent="0.2">
      <c r="A96" s="36"/>
      <c r="B96" s="37">
        <v>40</v>
      </c>
      <c r="C96" s="37"/>
      <c r="D96" s="50" t="s">
        <v>67</v>
      </c>
      <c r="E96" s="50"/>
      <c r="F96" s="50"/>
      <c r="G96" s="61">
        <f>'40'!E59</f>
        <v>0</v>
      </c>
      <c r="H96" s="61">
        <f>'40'!F59</f>
        <v>0</v>
      </c>
      <c r="I96" s="61">
        <f>'40'!G59</f>
        <v>901700</v>
      </c>
      <c r="J96" s="61">
        <f>'40'!H59</f>
        <v>0</v>
      </c>
      <c r="K96" s="61">
        <f>'40'!I59</f>
        <v>0</v>
      </c>
      <c r="L96" s="61">
        <f>'40'!J59</f>
        <v>0</v>
      </c>
    </row>
    <row r="97" spans="1:12" x14ac:dyDescent="0.2">
      <c r="A97" s="36"/>
      <c r="B97" s="37">
        <v>45</v>
      </c>
      <c r="C97" s="37"/>
      <c r="D97" s="50" t="s">
        <v>68</v>
      </c>
      <c r="E97" s="50"/>
      <c r="F97" s="50"/>
      <c r="G97" s="61">
        <f>'45'!E54</f>
        <v>0</v>
      </c>
      <c r="H97" s="61">
        <f>'45'!F54</f>
        <v>0</v>
      </c>
      <c r="I97" s="61">
        <f>'45'!G54</f>
        <v>21300</v>
      </c>
      <c r="J97" s="61">
        <f>'45'!H54</f>
        <v>393200</v>
      </c>
      <c r="K97" s="61">
        <f>'45'!I54</f>
        <v>0</v>
      </c>
      <c r="L97" s="61">
        <f>'45'!J54</f>
        <v>0</v>
      </c>
    </row>
    <row r="98" spans="1:12" ht="13.5" thickBot="1" x14ac:dyDescent="0.25">
      <c r="A98" s="36"/>
      <c r="B98" s="50"/>
      <c r="C98" s="50"/>
      <c r="D98" s="49" t="s">
        <v>69</v>
      </c>
      <c r="E98" s="50"/>
      <c r="F98" s="50"/>
      <c r="G98" s="62">
        <f t="shared" ref="G98:L98" si="21">SUM(G82:G97)</f>
        <v>33696026.68</v>
      </c>
      <c r="H98" s="62">
        <f t="shared" si="21"/>
        <v>43421800</v>
      </c>
      <c r="I98" s="62">
        <f t="shared" si="21"/>
        <v>57936239</v>
      </c>
      <c r="J98" s="62">
        <f t="shared" si="21"/>
        <v>38767500</v>
      </c>
      <c r="K98" s="62">
        <f t="shared" si="21"/>
        <v>4115900</v>
      </c>
      <c r="L98" s="62">
        <f t="shared" si="21"/>
        <v>0</v>
      </c>
    </row>
    <row r="99" spans="1:12" ht="13.5" thickTop="1" x14ac:dyDescent="0.2">
      <c r="A99" s="36"/>
      <c r="B99" s="50"/>
      <c r="C99" s="50"/>
      <c r="D99" s="50"/>
      <c r="E99" s="50"/>
      <c r="F99" s="64"/>
      <c r="G99" s="41"/>
      <c r="H99" s="41"/>
      <c r="I99" s="41"/>
      <c r="J99" s="41"/>
      <c r="K99" s="41"/>
      <c r="L99" s="41"/>
    </row>
    <row r="100" spans="1:12" ht="15" customHeight="1" x14ac:dyDescent="0.2">
      <c r="A100" s="36"/>
      <c r="B100" s="50"/>
      <c r="C100" s="50"/>
      <c r="D100" s="10" t="s">
        <v>70</v>
      </c>
      <c r="E100" s="10"/>
      <c r="F100" s="10"/>
      <c r="G100" s="10"/>
      <c r="H100" s="10"/>
      <c r="I100" s="10"/>
      <c r="J100" s="10"/>
      <c r="K100" s="10"/>
      <c r="L100" s="10"/>
    </row>
    <row r="101" spans="1:12" ht="34.5" thickBot="1" x14ac:dyDescent="0.25">
      <c r="A101" s="36"/>
      <c r="B101" s="59"/>
      <c r="C101" s="59"/>
      <c r="D101" s="59" t="s">
        <v>57</v>
      </c>
      <c r="E101" s="59"/>
      <c r="F101" s="59"/>
      <c r="G101" s="15" t="str">
        <f t="shared" ref="G101:L101" si="22">G25</f>
        <v>Actuals           2014-2015</v>
      </c>
      <c r="H101" s="15" t="str">
        <f t="shared" si="22"/>
        <v>Approved Estimates          2015-2016</v>
      </c>
      <c r="I101" s="15" t="str">
        <f t="shared" si="22"/>
        <v>Revised Estimates                 2015-2016</v>
      </c>
      <c r="J101" s="15" t="str">
        <f t="shared" si="22"/>
        <v>Budget Estimates      2016-2017</v>
      </c>
      <c r="K101" s="15" t="str">
        <f t="shared" si="22"/>
        <v>Forward Estimates     2017-2018</v>
      </c>
      <c r="L101" s="15" t="str">
        <f t="shared" si="22"/>
        <v>Forward Estimates     2018-2019</v>
      </c>
    </row>
    <row r="102" spans="1:12" x14ac:dyDescent="0.2">
      <c r="A102" s="36"/>
      <c r="B102" s="37" t="s">
        <v>36</v>
      </c>
      <c r="C102" s="37"/>
      <c r="D102" s="50" t="s">
        <v>58</v>
      </c>
      <c r="E102" s="50"/>
      <c r="F102" s="50"/>
      <c r="G102" s="61">
        <f>'05'!E43</f>
        <v>5517163.5300000003</v>
      </c>
      <c r="H102" s="61">
        <f>'05'!F43</f>
        <v>6051200</v>
      </c>
      <c r="I102" s="61">
        <f>'05'!G43</f>
        <v>5944100</v>
      </c>
      <c r="J102" s="61">
        <f>'05'!H43</f>
        <v>6266700</v>
      </c>
      <c r="K102" s="61">
        <f>'05'!I43</f>
        <v>6340600</v>
      </c>
      <c r="L102" s="61">
        <f>'05'!J43</f>
        <v>6448100</v>
      </c>
    </row>
    <row r="103" spans="1:12" x14ac:dyDescent="0.2">
      <c r="A103" s="36"/>
      <c r="B103" s="37" t="s">
        <v>38</v>
      </c>
      <c r="C103" s="37"/>
      <c r="D103" s="50" t="s">
        <v>39</v>
      </c>
      <c r="E103" s="50"/>
      <c r="F103" s="50"/>
      <c r="G103" s="61">
        <f>'07'!E38</f>
        <v>1655116.58</v>
      </c>
      <c r="H103" s="61">
        <f>'07'!F38</f>
        <v>1682700</v>
      </c>
      <c r="I103" s="61">
        <f>'07'!G38</f>
        <v>1551800</v>
      </c>
      <c r="J103" s="61">
        <f>'07'!H38</f>
        <v>1739100</v>
      </c>
      <c r="K103" s="61">
        <f>'07'!I38</f>
        <v>1768300</v>
      </c>
      <c r="L103" s="61">
        <f>'07'!J38</f>
        <v>1757000</v>
      </c>
    </row>
    <row r="104" spans="1:12" x14ac:dyDescent="0.2">
      <c r="A104" s="36"/>
      <c r="B104" s="37" t="s">
        <v>40</v>
      </c>
      <c r="C104" s="37"/>
      <c r="D104" s="50" t="s">
        <v>59</v>
      </c>
      <c r="E104" s="50"/>
      <c r="F104" s="50"/>
      <c r="G104" s="61">
        <f>'08'!E35</f>
        <v>308218.84999999998</v>
      </c>
      <c r="H104" s="61">
        <f>'08'!F35</f>
        <v>330900</v>
      </c>
      <c r="I104" s="61">
        <f>'08'!G35</f>
        <v>309200</v>
      </c>
      <c r="J104" s="61">
        <f>'08'!H35</f>
        <v>339200</v>
      </c>
      <c r="K104" s="61">
        <f>'08'!I35</f>
        <v>359200</v>
      </c>
      <c r="L104" s="61">
        <f>'08'!J35</f>
        <v>341600</v>
      </c>
    </row>
    <row r="105" spans="1:12" x14ac:dyDescent="0.2">
      <c r="A105" s="36"/>
      <c r="B105" s="37" t="s">
        <v>42</v>
      </c>
      <c r="C105" s="37"/>
      <c r="D105" s="50" t="s">
        <v>43</v>
      </c>
      <c r="E105" s="50"/>
      <c r="F105" s="50"/>
      <c r="G105" s="61">
        <f>'09'!E38</f>
        <v>656476.92999999993</v>
      </c>
      <c r="H105" s="61">
        <f>'09'!F38</f>
        <v>690300</v>
      </c>
      <c r="I105" s="61">
        <f>'09'!G38</f>
        <v>626500</v>
      </c>
      <c r="J105" s="61">
        <f>'09'!H38</f>
        <v>712900</v>
      </c>
      <c r="K105" s="61">
        <f>'09'!I38</f>
        <v>795400</v>
      </c>
      <c r="L105" s="61">
        <f>'09'!J38</f>
        <v>781900</v>
      </c>
    </row>
    <row r="106" spans="1:12" x14ac:dyDescent="0.2">
      <c r="A106" s="36"/>
      <c r="B106" s="37">
        <v>10</v>
      </c>
      <c r="C106" s="37"/>
      <c r="D106" s="50" t="s">
        <v>44</v>
      </c>
      <c r="E106" s="50"/>
      <c r="F106" s="50"/>
      <c r="G106" s="61">
        <f>'10'!E41</f>
        <v>2431559.9299999997</v>
      </c>
      <c r="H106" s="61">
        <f>'10'!F41</f>
        <v>2773200</v>
      </c>
      <c r="I106" s="61">
        <f>'10'!G41</f>
        <v>2773200</v>
      </c>
      <c r="J106" s="61">
        <f>'10'!H41</f>
        <v>1473400</v>
      </c>
      <c r="K106" s="61">
        <f>'10'!I41</f>
        <v>1486300</v>
      </c>
      <c r="L106" s="61">
        <f>'10'!J41</f>
        <v>1483200</v>
      </c>
    </row>
    <row r="107" spans="1:12" x14ac:dyDescent="0.2">
      <c r="A107" s="36"/>
      <c r="B107" s="37">
        <v>11</v>
      </c>
      <c r="C107" s="37"/>
      <c r="D107" s="50" t="s">
        <v>45</v>
      </c>
      <c r="E107" s="50"/>
      <c r="F107" s="50"/>
      <c r="G107" s="55">
        <f>'11'!E35</f>
        <v>0</v>
      </c>
      <c r="H107" s="55">
        <f>'11'!F35</f>
        <v>0</v>
      </c>
      <c r="I107" s="55">
        <f>'11'!G35</f>
        <v>0</v>
      </c>
      <c r="J107" s="55">
        <f>'11'!H35</f>
        <v>1258000</v>
      </c>
      <c r="K107" s="55">
        <f>'11'!I35</f>
        <v>1305900</v>
      </c>
      <c r="L107" s="55">
        <f>'11'!J35</f>
        <v>1316700</v>
      </c>
    </row>
    <row r="108" spans="1:12" x14ac:dyDescent="0.2">
      <c r="A108" s="36"/>
      <c r="B108" s="37">
        <v>12</v>
      </c>
      <c r="C108" s="37"/>
      <c r="D108" s="50" t="s">
        <v>46</v>
      </c>
      <c r="E108" s="50"/>
      <c r="F108" s="50"/>
      <c r="G108" s="61">
        <f>'12'!E60</f>
        <v>28223099.439999998</v>
      </c>
      <c r="H108" s="61">
        <f>'12'!F60</f>
        <v>31739100</v>
      </c>
      <c r="I108" s="61">
        <f>'12'!G60</f>
        <v>30647200</v>
      </c>
      <c r="J108" s="61">
        <f>'12'!H60</f>
        <v>31387900</v>
      </c>
      <c r="K108" s="61">
        <f>'12'!I60</f>
        <v>31573700</v>
      </c>
      <c r="L108" s="61">
        <f>'12'!J60</f>
        <v>31621900</v>
      </c>
    </row>
    <row r="109" spans="1:12" x14ac:dyDescent="0.2">
      <c r="A109" s="36"/>
      <c r="B109" s="37">
        <v>13</v>
      </c>
      <c r="C109" s="37"/>
      <c r="D109" s="50" t="s">
        <v>47</v>
      </c>
      <c r="E109" s="50"/>
      <c r="F109" s="50"/>
      <c r="G109" s="61">
        <f>'13'!E39</f>
        <v>529178.82000000007</v>
      </c>
      <c r="H109" s="61">
        <f>'13'!F39</f>
        <v>629700</v>
      </c>
      <c r="I109" s="61">
        <f>'13'!G39</f>
        <v>524300</v>
      </c>
      <c r="J109" s="61">
        <f>'13'!H39</f>
        <v>649200</v>
      </c>
      <c r="K109" s="61">
        <f>'13'!I39</f>
        <v>677100</v>
      </c>
      <c r="L109" s="61">
        <f>'13'!J39</f>
        <v>681200</v>
      </c>
    </row>
    <row r="110" spans="1:12" x14ac:dyDescent="0.2">
      <c r="A110" s="36"/>
      <c r="B110" s="37">
        <v>15</v>
      </c>
      <c r="C110" s="37"/>
      <c r="D110" s="50" t="s">
        <v>48</v>
      </c>
      <c r="E110" s="50"/>
      <c r="F110" s="50"/>
      <c r="G110" s="61">
        <f>'15'!E47</f>
        <v>11045515.780000001</v>
      </c>
      <c r="H110" s="61">
        <f>'15'!F47</f>
        <v>12465000</v>
      </c>
      <c r="I110" s="61">
        <f>'15'!G47</f>
        <v>12758700</v>
      </c>
      <c r="J110" s="61">
        <f>'15'!H47</f>
        <v>11757500</v>
      </c>
      <c r="K110" s="61">
        <f>'15'!I47</f>
        <v>11815700</v>
      </c>
      <c r="L110" s="61">
        <f>'15'!J47</f>
        <v>11820000</v>
      </c>
    </row>
    <row r="111" spans="1:12" x14ac:dyDescent="0.2">
      <c r="A111" s="36"/>
      <c r="B111" s="37">
        <v>17</v>
      </c>
      <c r="C111" s="37"/>
      <c r="D111" s="50" t="s">
        <v>49</v>
      </c>
      <c r="E111" s="50"/>
      <c r="F111" s="50"/>
      <c r="G111" s="61">
        <f>'17'!E54</f>
        <v>3826674.7</v>
      </c>
      <c r="H111" s="61">
        <f>'17'!F54</f>
        <v>0</v>
      </c>
      <c r="I111" s="61">
        <f>'17'!G54</f>
        <v>0</v>
      </c>
      <c r="J111" s="61">
        <f>'17'!H54</f>
        <v>0</v>
      </c>
      <c r="K111" s="61">
        <f>'17'!I54</f>
        <v>0</v>
      </c>
      <c r="L111" s="61">
        <f>'17'!J54</f>
        <v>0</v>
      </c>
    </row>
    <row r="112" spans="1:12" x14ac:dyDescent="0.2">
      <c r="A112" s="36"/>
      <c r="B112" s="37">
        <v>20</v>
      </c>
      <c r="C112" s="37"/>
      <c r="D112" s="50" t="s">
        <v>50</v>
      </c>
      <c r="E112" s="50"/>
      <c r="F112" s="50"/>
      <c r="G112" s="61">
        <f>'20'!E52</f>
        <v>16908097.84</v>
      </c>
      <c r="H112" s="61">
        <f>'20'!F52</f>
        <v>14218300</v>
      </c>
      <c r="I112" s="61">
        <f>'20'!G52</f>
        <v>11678200</v>
      </c>
      <c r="J112" s="61">
        <f>'20'!H52</f>
        <v>12661800</v>
      </c>
      <c r="K112" s="61">
        <f>'20'!I52</f>
        <v>12829900</v>
      </c>
      <c r="L112" s="61">
        <f>'20'!J52</f>
        <v>12910400</v>
      </c>
    </row>
    <row r="113" spans="1:12" x14ac:dyDescent="0.2">
      <c r="A113" s="36"/>
      <c r="B113" s="37">
        <v>30</v>
      </c>
      <c r="C113" s="37"/>
      <c r="D113" s="50" t="s">
        <v>51</v>
      </c>
      <c r="E113" s="50"/>
      <c r="F113" s="50"/>
      <c r="G113" s="61">
        <f>'30'!E65</f>
        <v>4848774.6500000004</v>
      </c>
      <c r="H113" s="61">
        <f>'30'!F65</f>
        <v>6003800</v>
      </c>
      <c r="I113" s="61">
        <f>'30'!G65</f>
        <v>5685400</v>
      </c>
      <c r="J113" s="61">
        <f>'30'!H65</f>
        <v>6418100</v>
      </c>
      <c r="K113" s="61">
        <f>'30'!I65</f>
        <v>6649500</v>
      </c>
      <c r="L113" s="61">
        <f>'30'!J65</f>
        <v>6650000</v>
      </c>
    </row>
    <row r="114" spans="1:12" x14ac:dyDescent="0.2">
      <c r="A114" s="36"/>
      <c r="B114" s="37">
        <v>35</v>
      </c>
      <c r="C114" s="37"/>
      <c r="D114" s="50" t="s">
        <v>52</v>
      </c>
      <c r="E114" s="50"/>
      <c r="F114" s="50"/>
      <c r="G114" s="61">
        <f>'35'!E49</f>
        <v>19367039.73</v>
      </c>
      <c r="H114" s="61">
        <f>'35'!F49</f>
        <v>20710900</v>
      </c>
      <c r="I114" s="61">
        <f>'35'!G49</f>
        <v>19718000</v>
      </c>
      <c r="J114" s="61">
        <f>'35'!H49</f>
        <v>19711400</v>
      </c>
      <c r="K114" s="61">
        <f>'35'!I49</f>
        <v>19871900</v>
      </c>
      <c r="L114" s="61">
        <f>'35'!J49</f>
        <v>19982600</v>
      </c>
    </row>
    <row r="115" spans="1:12" x14ac:dyDescent="0.2">
      <c r="A115" s="36"/>
      <c r="B115" s="37">
        <v>40</v>
      </c>
      <c r="C115" s="37"/>
      <c r="D115" s="50" t="s">
        <v>53</v>
      </c>
      <c r="E115" s="50"/>
      <c r="F115" s="50"/>
      <c r="G115" s="61">
        <f>'40'!E52</f>
        <v>8390682.1799999997</v>
      </c>
      <c r="H115" s="61">
        <f>'40'!F52</f>
        <v>9977000</v>
      </c>
      <c r="I115" s="61">
        <f>'40'!G52</f>
        <v>9934300</v>
      </c>
      <c r="J115" s="61">
        <f>'40'!H52</f>
        <v>10877300</v>
      </c>
      <c r="K115" s="61">
        <f>'40'!I52</f>
        <v>11055300</v>
      </c>
      <c r="L115" s="61">
        <f>'40'!J52</f>
        <v>11120000</v>
      </c>
    </row>
    <row r="116" spans="1:12" x14ac:dyDescent="0.2">
      <c r="A116" s="36"/>
      <c r="B116" s="37">
        <v>45</v>
      </c>
      <c r="C116" s="37"/>
      <c r="D116" s="56" t="s">
        <v>54</v>
      </c>
      <c r="E116" s="50"/>
      <c r="F116" s="50"/>
      <c r="G116" s="61">
        <f>'45'!E48</f>
        <v>15969282.74</v>
      </c>
      <c r="H116" s="61">
        <f>'45'!F48</f>
        <v>20966200</v>
      </c>
      <c r="I116" s="61">
        <f>'45'!G48</f>
        <v>21077600</v>
      </c>
      <c r="J116" s="61">
        <f>'45'!H48</f>
        <v>21350300</v>
      </c>
      <c r="K116" s="61">
        <f>'45'!I48</f>
        <v>19469000</v>
      </c>
      <c r="L116" s="61">
        <f>'45'!J48</f>
        <v>19523100</v>
      </c>
    </row>
    <row r="117" spans="1:12" ht="13.5" thickBot="1" x14ac:dyDescent="0.25">
      <c r="A117" s="36"/>
      <c r="B117" s="50"/>
      <c r="C117" s="50"/>
      <c r="D117" s="50"/>
      <c r="E117" s="49" t="s">
        <v>55</v>
      </c>
      <c r="F117" s="50"/>
      <c r="G117" s="65">
        <f t="shared" ref="G117:L117" si="23">SUM(G102:G116)</f>
        <v>119676881.7</v>
      </c>
      <c r="H117" s="65">
        <f t="shared" si="23"/>
        <v>128238300</v>
      </c>
      <c r="I117" s="65">
        <f t="shared" si="23"/>
        <v>123228500</v>
      </c>
      <c r="J117" s="65">
        <f t="shared" si="23"/>
        <v>126602800</v>
      </c>
      <c r="K117" s="65">
        <f t="shared" si="23"/>
        <v>125997800</v>
      </c>
      <c r="L117" s="65">
        <f t="shared" si="23"/>
        <v>126437700</v>
      </c>
    </row>
    <row r="118" spans="1:12" x14ac:dyDescent="0.2">
      <c r="A118" s="36"/>
      <c r="B118" s="50"/>
      <c r="C118" s="50"/>
      <c r="D118" s="50"/>
      <c r="E118" s="49"/>
      <c r="F118" s="50"/>
      <c r="G118" s="39"/>
      <c r="H118" s="39"/>
      <c r="I118" s="39"/>
      <c r="J118" s="39"/>
      <c r="K118" s="39"/>
      <c r="L118" s="39"/>
    </row>
    <row r="119" spans="1:12" x14ac:dyDescent="0.2">
      <c r="A119" s="36"/>
      <c r="B119" s="50"/>
      <c r="C119" s="50"/>
      <c r="D119" s="50"/>
      <c r="E119" s="50"/>
      <c r="F119" s="50"/>
      <c r="G119" s="39"/>
      <c r="H119" s="39"/>
      <c r="I119" s="39"/>
      <c r="J119" s="39"/>
      <c r="K119" s="39"/>
      <c r="L119" s="39"/>
    </row>
    <row r="120" spans="1:12" ht="15" customHeight="1" x14ac:dyDescent="0.2">
      <c r="A120" s="36"/>
      <c r="B120" s="50"/>
      <c r="C120" s="50"/>
      <c r="D120" s="10" t="s">
        <v>71</v>
      </c>
      <c r="E120" s="10"/>
      <c r="F120" s="10"/>
      <c r="G120" s="10"/>
      <c r="H120" s="10"/>
      <c r="I120" s="10"/>
      <c r="J120" s="10"/>
      <c r="K120" s="10"/>
      <c r="L120" s="10"/>
    </row>
    <row r="121" spans="1:12" ht="34.5" thickBot="1" x14ac:dyDescent="0.25">
      <c r="A121" s="36"/>
      <c r="B121" s="59"/>
      <c r="C121" s="59"/>
      <c r="D121" s="59" t="s">
        <v>57</v>
      </c>
      <c r="E121" s="59"/>
      <c r="F121" s="59"/>
      <c r="G121" s="15" t="str">
        <f t="shared" ref="G121:L121" si="24">G25</f>
        <v>Actuals           2014-2015</v>
      </c>
      <c r="H121" s="15" t="str">
        <f t="shared" si="24"/>
        <v>Approved Estimates          2015-2016</v>
      </c>
      <c r="I121" s="15" t="str">
        <f t="shared" si="24"/>
        <v>Revised Estimates                 2015-2016</v>
      </c>
      <c r="J121" s="15" t="str">
        <f t="shared" si="24"/>
        <v>Budget Estimates      2016-2017</v>
      </c>
      <c r="K121" s="15" t="str">
        <f t="shared" si="24"/>
        <v>Forward Estimates     2017-2018</v>
      </c>
      <c r="L121" s="15" t="str">
        <f t="shared" si="24"/>
        <v>Forward Estimates     2018-2019</v>
      </c>
    </row>
    <row r="122" spans="1:12" x14ac:dyDescent="0.2">
      <c r="A122" s="36"/>
      <c r="B122" s="37" t="s">
        <v>36</v>
      </c>
      <c r="C122" s="37"/>
      <c r="D122" s="50" t="s">
        <v>58</v>
      </c>
      <c r="E122" s="50"/>
      <c r="F122" s="50"/>
      <c r="G122" s="61">
        <f>'05'!E34</f>
        <v>5517163.5300000003</v>
      </c>
      <c r="H122" s="61">
        <f>'05'!F34</f>
        <v>6051200</v>
      </c>
      <c r="I122" s="61">
        <f>'05'!G34</f>
        <v>5944100</v>
      </c>
      <c r="J122" s="61">
        <f>'05'!H34</f>
        <v>6266700</v>
      </c>
      <c r="K122" s="61">
        <f>'05'!I34</f>
        <v>6340600</v>
      </c>
      <c r="L122" s="61">
        <f>'05'!J34</f>
        <v>6448100</v>
      </c>
    </row>
    <row r="123" spans="1:12" x14ac:dyDescent="0.2">
      <c r="A123" s="36"/>
      <c r="B123" s="37" t="s">
        <v>38</v>
      </c>
      <c r="C123" s="37"/>
      <c r="D123" s="50" t="s">
        <v>39</v>
      </c>
      <c r="E123" s="50"/>
      <c r="F123" s="50"/>
      <c r="G123" s="61">
        <f>'07'!E29</f>
        <v>1655116.58</v>
      </c>
      <c r="H123" s="61">
        <f>'07'!F29</f>
        <v>1682700</v>
      </c>
      <c r="I123" s="61">
        <f>'07'!G29</f>
        <v>1551800</v>
      </c>
      <c r="J123" s="61">
        <f>'07'!H29</f>
        <v>1739100</v>
      </c>
      <c r="K123" s="61">
        <f>'07'!I29</f>
        <v>1768300</v>
      </c>
      <c r="L123" s="61">
        <f>'07'!J29</f>
        <v>1757000</v>
      </c>
    </row>
    <row r="124" spans="1:12" x14ac:dyDescent="0.2">
      <c r="A124" s="36"/>
      <c r="B124" s="37" t="s">
        <v>40</v>
      </c>
      <c r="C124" s="37"/>
      <c r="D124" s="50" t="s">
        <v>59</v>
      </c>
      <c r="E124" s="50"/>
      <c r="F124" s="50"/>
      <c r="G124" s="61">
        <f>'08'!E26</f>
        <v>308218.84999999998</v>
      </c>
      <c r="H124" s="61">
        <f>'08'!F26</f>
        <v>330900</v>
      </c>
      <c r="I124" s="61">
        <f>'08'!G26</f>
        <v>309200</v>
      </c>
      <c r="J124" s="61">
        <f>'08'!H26</f>
        <v>339200</v>
      </c>
      <c r="K124" s="61">
        <f>'08'!I26</f>
        <v>359200</v>
      </c>
      <c r="L124" s="61">
        <f>'08'!J26</f>
        <v>341600</v>
      </c>
    </row>
    <row r="125" spans="1:12" x14ac:dyDescent="0.2">
      <c r="A125" s="36"/>
      <c r="B125" s="37" t="s">
        <v>42</v>
      </c>
      <c r="C125" s="37"/>
      <c r="D125" s="50" t="s">
        <v>43</v>
      </c>
      <c r="E125" s="50"/>
      <c r="F125" s="50"/>
      <c r="G125" s="61">
        <f>'09'!E29</f>
        <v>656476.92999999993</v>
      </c>
      <c r="H125" s="61">
        <f>'09'!F29</f>
        <v>690300</v>
      </c>
      <c r="I125" s="61">
        <f>'09'!G29</f>
        <v>626500</v>
      </c>
      <c r="J125" s="61">
        <f>'09'!H29</f>
        <v>712900</v>
      </c>
      <c r="K125" s="61">
        <f>'09'!I29</f>
        <v>795400</v>
      </c>
      <c r="L125" s="61">
        <f>'09'!J29</f>
        <v>781900</v>
      </c>
    </row>
    <row r="126" spans="1:12" x14ac:dyDescent="0.2">
      <c r="A126" s="36"/>
      <c r="B126" s="37">
        <v>10</v>
      </c>
      <c r="C126" s="37"/>
      <c r="D126" s="50" t="s">
        <v>44</v>
      </c>
      <c r="E126" s="50"/>
      <c r="F126" s="50"/>
      <c r="G126" s="61">
        <f>'10'!E32</f>
        <v>2431559.9300000002</v>
      </c>
      <c r="H126" s="61">
        <f>'10'!F32</f>
        <v>2773200</v>
      </c>
      <c r="I126" s="61">
        <f>'10'!G32</f>
        <v>2773200</v>
      </c>
      <c r="J126" s="61">
        <f>'10'!H32</f>
        <v>1473400</v>
      </c>
      <c r="K126" s="61">
        <f>'10'!I32</f>
        <v>1486300</v>
      </c>
      <c r="L126" s="61">
        <f>'10'!J32</f>
        <v>1483200</v>
      </c>
    </row>
    <row r="127" spans="1:12" x14ac:dyDescent="0.2">
      <c r="A127" s="36"/>
      <c r="B127" s="37">
        <v>11</v>
      </c>
      <c r="C127" s="37"/>
      <c r="D127" s="50" t="s">
        <v>45</v>
      </c>
      <c r="E127" s="50"/>
      <c r="F127" s="50"/>
      <c r="G127" s="55">
        <f>'11'!E42</f>
        <v>0</v>
      </c>
      <c r="H127" s="55">
        <f>'11'!F42</f>
        <v>0</v>
      </c>
      <c r="I127" s="55">
        <f>'11'!G42</f>
        <v>0</v>
      </c>
      <c r="J127" s="55">
        <f>'11'!H42</f>
        <v>1258000</v>
      </c>
      <c r="K127" s="55">
        <f>'11'!I42</f>
        <v>1305900</v>
      </c>
      <c r="L127" s="55">
        <f>'11'!J42</f>
        <v>1316700</v>
      </c>
    </row>
    <row r="128" spans="1:12" x14ac:dyDescent="0.2">
      <c r="A128" s="36"/>
      <c r="B128" s="37">
        <v>12</v>
      </c>
      <c r="C128" s="37"/>
      <c r="D128" s="50" t="s">
        <v>46</v>
      </c>
      <c r="E128" s="50"/>
      <c r="F128" s="50"/>
      <c r="G128" s="61">
        <f>'12'!E51</f>
        <v>28807299.439999998</v>
      </c>
      <c r="H128" s="61">
        <f>'12'!F51</f>
        <v>31739100</v>
      </c>
      <c r="I128" s="61">
        <f>'12'!G51</f>
        <v>32623500</v>
      </c>
      <c r="J128" s="61">
        <f>'12'!H51</f>
        <v>33868700</v>
      </c>
      <c r="K128" s="61">
        <f>'12'!I51</f>
        <v>31573700</v>
      </c>
      <c r="L128" s="61">
        <f>'12'!J51</f>
        <v>31621900</v>
      </c>
    </row>
    <row r="129" spans="1:12" x14ac:dyDescent="0.2">
      <c r="A129" s="36"/>
      <c r="B129" s="37">
        <v>13</v>
      </c>
      <c r="C129" s="37"/>
      <c r="D129" s="50" t="s">
        <v>47</v>
      </c>
      <c r="E129" s="50"/>
      <c r="F129" s="50"/>
      <c r="G129" s="61">
        <f>'13'!E30</f>
        <v>529178.82000000007</v>
      </c>
      <c r="H129" s="61">
        <f>'13'!F30</f>
        <v>629700</v>
      </c>
      <c r="I129" s="61">
        <f>'13'!G30</f>
        <v>524300</v>
      </c>
      <c r="J129" s="61">
        <f>'13'!H30</f>
        <v>649200</v>
      </c>
      <c r="K129" s="61">
        <f>'13'!I30</f>
        <v>677100</v>
      </c>
      <c r="L129" s="61">
        <f>'13'!J30</f>
        <v>681200</v>
      </c>
    </row>
    <row r="130" spans="1:12" x14ac:dyDescent="0.2">
      <c r="A130" s="36"/>
      <c r="B130" s="37">
        <v>15</v>
      </c>
      <c r="C130" s="37"/>
      <c r="D130" s="50" t="s">
        <v>48</v>
      </c>
      <c r="E130" s="50"/>
      <c r="F130" s="50"/>
      <c r="G130" s="61">
        <f>'15'!E38</f>
        <v>12516115.780000001</v>
      </c>
      <c r="H130" s="61">
        <f>'15'!F38</f>
        <v>20395000</v>
      </c>
      <c r="I130" s="61">
        <f>'15'!G38</f>
        <v>22019939</v>
      </c>
      <c r="J130" s="61">
        <f>'15'!H38</f>
        <v>16456900</v>
      </c>
      <c r="K130" s="61">
        <f>'15'!I38</f>
        <v>11815700</v>
      </c>
      <c r="L130" s="61">
        <f>'15'!J38</f>
        <v>11820000</v>
      </c>
    </row>
    <row r="131" spans="1:12" x14ac:dyDescent="0.2">
      <c r="A131" s="36"/>
      <c r="B131" s="37">
        <v>17</v>
      </c>
      <c r="C131" s="37"/>
      <c r="D131" s="50" t="s">
        <v>49</v>
      </c>
      <c r="E131" s="50"/>
      <c r="F131" s="50"/>
      <c r="G131" s="61">
        <f>'17'!E45</f>
        <v>9595192.3599999994</v>
      </c>
      <c r="H131" s="61">
        <f>'17'!F45</f>
        <v>0</v>
      </c>
      <c r="I131" s="61">
        <f>'17'!G45</f>
        <v>0</v>
      </c>
      <c r="J131" s="61">
        <f>'17'!H45</f>
        <v>0</v>
      </c>
      <c r="K131" s="61">
        <f>'17'!I45</f>
        <v>0</v>
      </c>
      <c r="L131" s="61">
        <f>'17'!J45</f>
        <v>0</v>
      </c>
    </row>
    <row r="132" spans="1:12" x14ac:dyDescent="0.2">
      <c r="A132" s="36"/>
      <c r="B132" s="37">
        <v>20</v>
      </c>
      <c r="C132" s="37"/>
      <c r="D132" s="50" t="s">
        <v>50</v>
      </c>
      <c r="E132" s="50"/>
      <c r="F132" s="50"/>
      <c r="G132" s="61">
        <f>'20'!E43</f>
        <v>38389860.329999998</v>
      </c>
      <c r="H132" s="61">
        <f>'20'!F43</f>
        <v>39727500</v>
      </c>
      <c r="I132" s="61">
        <f>'20'!G43</f>
        <v>37883700</v>
      </c>
      <c r="J132" s="61">
        <f>'20'!H43</f>
        <v>27696600</v>
      </c>
      <c r="K132" s="61">
        <f>'20'!I43</f>
        <v>13679400</v>
      </c>
      <c r="L132" s="61">
        <f>'20'!J43</f>
        <v>12910400</v>
      </c>
    </row>
    <row r="133" spans="1:12" x14ac:dyDescent="0.2">
      <c r="A133" s="36"/>
      <c r="B133" s="37">
        <v>30</v>
      </c>
      <c r="C133" s="37"/>
      <c r="D133" s="50" t="s">
        <v>51</v>
      </c>
      <c r="E133" s="50"/>
      <c r="F133" s="50"/>
      <c r="G133" s="61">
        <f>'30'!E56</f>
        <v>6457721.1799999997</v>
      </c>
      <c r="H133" s="61">
        <f>'30'!F56</f>
        <v>8711400</v>
      </c>
      <c r="I133" s="61">
        <f>'30'!G56</f>
        <v>10822200</v>
      </c>
      <c r="J133" s="61">
        <f>'30'!H56</f>
        <v>9488500</v>
      </c>
      <c r="K133" s="61">
        <f>'30'!I56</f>
        <v>7948700</v>
      </c>
      <c r="L133" s="61">
        <f>'30'!J56</f>
        <v>6650000</v>
      </c>
    </row>
    <row r="134" spans="1:12" x14ac:dyDescent="0.2">
      <c r="A134" s="36"/>
      <c r="B134" s="37">
        <v>35</v>
      </c>
      <c r="C134" s="37"/>
      <c r="D134" s="50" t="s">
        <v>52</v>
      </c>
      <c r="E134" s="50"/>
      <c r="F134" s="50"/>
      <c r="G134" s="61">
        <f>'35'!E40</f>
        <v>22149039.73</v>
      </c>
      <c r="H134" s="61">
        <f>'35'!F40</f>
        <v>27985900</v>
      </c>
      <c r="I134" s="61">
        <f>'35'!G40</f>
        <v>34151400</v>
      </c>
      <c r="J134" s="61">
        <f>'35'!H40</f>
        <v>32800300</v>
      </c>
      <c r="K134" s="61">
        <f>'35'!I40</f>
        <v>21839100</v>
      </c>
      <c r="L134" s="61">
        <f>'35'!J40</f>
        <v>19982600</v>
      </c>
    </row>
    <row r="135" spans="1:12" x14ac:dyDescent="0.2">
      <c r="A135" s="36"/>
      <c r="B135" s="37">
        <v>40</v>
      </c>
      <c r="C135" s="37"/>
      <c r="D135" s="50" t="s">
        <v>53</v>
      </c>
      <c r="E135" s="50"/>
      <c r="F135" s="50"/>
      <c r="G135" s="61">
        <f>'40'!E43</f>
        <v>8390682.1800000016</v>
      </c>
      <c r="H135" s="61">
        <f>'40'!F43</f>
        <v>9977000</v>
      </c>
      <c r="I135" s="61">
        <f>'40'!G43</f>
        <v>10836000</v>
      </c>
      <c r="J135" s="61">
        <f>'40'!H43</f>
        <v>10877300</v>
      </c>
      <c r="K135" s="61">
        <f>'40'!I43</f>
        <v>11055300</v>
      </c>
      <c r="L135" s="61">
        <f>'40'!J43</f>
        <v>11120000</v>
      </c>
    </row>
    <row r="136" spans="1:12" x14ac:dyDescent="0.2">
      <c r="A136" s="36"/>
      <c r="B136" s="37">
        <v>45</v>
      </c>
      <c r="C136" s="37"/>
      <c r="D136" s="56" t="s">
        <v>54</v>
      </c>
      <c r="E136" s="50"/>
      <c r="F136" s="50"/>
      <c r="G136" s="61">
        <f>'45'!E39</f>
        <v>15969282.74</v>
      </c>
      <c r="H136" s="61">
        <f>'45'!F39</f>
        <v>20966200</v>
      </c>
      <c r="I136" s="61">
        <f>'45'!G39</f>
        <v>21098900</v>
      </c>
      <c r="J136" s="61">
        <f>'45'!H39</f>
        <v>21743500</v>
      </c>
      <c r="K136" s="61">
        <f>'45'!I39</f>
        <v>19469000</v>
      </c>
      <c r="L136" s="61">
        <f>'45'!J39</f>
        <v>19523100</v>
      </c>
    </row>
    <row r="137" spans="1:12" ht="13.5" thickBot="1" x14ac:dyDescent="0.25">
      <c r="A137" s="36"/>
      <c r="B137" s="50"/>
      <c r="C137" s="50"/>
      <c r="D137" s="50"/>
      <c r="E137" s="49" t="s">
        <v>55</v>
      </c>
      <c r="F137" s="50"/>
      <c r="G137" s="65">
        <f t="shared" ref="G137:L137" si="25">SUM(G122:G136)</f>
        <v>153372908.38</v>
      </c>
      <c r="H137" s="65">
        <f t="shared" si="25"/>
        <v>171660100</v>
      </c>
      <c r="I137" s="65">
        <f t="shared" si="25"/>
        <v>181164739</v>
      </c>
      <c r="J137" s="65">
        <f>SUM(J122:J136)</f>
        <v>165370300</v>
      </c>
      <c r="K137" s="65">
        <f t="shared" si="25"/>
        <v>130113700</v>
      </c>
      <c r="L137" s="65">
        <f t="shared" si="25"/>
        <v>126437700</v>
      </c>
    </row>
    <row r="138" spans="1:12" x14ac:dyDescent="0.2">
      <c r="A138" s="36"/>
      <c r="B138" s="50"/>
      <c r="C138" s="50"/>
      <c r="D138" s="50"/>
      <c r="E138" s="50"/>
      <c r="F138" s="50"/>
      <c r="G138" s="66"/>
      <c r="H138" s="66"/>
      <c r="I138" s="41"/>
      <c r="J138" s="41"/>
      <c r="K138" s="41"/>
      <c r="L138" s="41"/>
    </row>
    <row r="139" spans="1:12" ht="15" customHeight="1" x14ac:dyDescent="0.2">
      <c r="A139" s="36"/>
      <c r="B139" s="50"/>
      <c r="C139" s="50"/>
      <c r="D139" s="67" t="s">
        <v>72</v>
      </c>
      <c r="E139" s="67"/>
      <c r="F139" s="67"/>
      <c r="G139" s="67"/>
      <c r="H139" s="67"/>
      <c r="I139" s="67"/>
      <c r="J139" s="67"/>
      <c r="K139" s="67"/>
      <c r="L139" s="67"/>
    </row>
    <row r="140" spans="1:12" ht="34.5" thickBot="1" x14ac:dyDescent="0.25">
      <c r="A140" s="36"/>
      <c r="B140" s="68"/>
      <c r="C140" s="68"/>
      <c r="D140" s="69" t="s">
        <v>73</v>
      </c>
      <c r="E140" s="43"/>
      <c r="F140" s="68"/>
      <c r="G140" s="15" t="str">
        <f t="shared" ref="G140:L140" si="26">G25</f>
        <v>Actuals           2014-2015</v>
      </c>
      <c r="H140" s="15" t="str">
        <f t="shared" si="26"/>
        <v>Approved Estimates          2015-2016</v>
      </c>
      <c r="I140" s="15" t="str">
        <f t="shared" si="26"/>
        <v>Revised Estimates                 2015-2016</v>
      </c>
      <c r="J140" s="15" t="str">
        <f t="shared" si="26"/>
        <v>Budget Estimates      2016-2017</v>
      </c>
      <c r="K140" s="15" t="str">
        <f t="shared" si="26"/>
        <v>Forward Estimates     2017-2018</v>
      </c>
      <c r="L140" s="15" t="str">
        <f t="shared" si="26"/>
        <v>Forward Estimates     2018-2019</v>
      </c>
    </row>
    <row r="141" spans="1:12" hidden="1" x14ac:dyDescent="0.2">
      <c r="A141" s="36"/>
      <c r="B141" s="37" t="s">
        <v>74</v>
      </c>
      <c r="C141" s="50" t="s">
        <v>7</v>
      </c>
      <c r="D141" s="45"/>
      <c r="E141" s="45"/>
      <c r="F141" s="50"/>
      <c r="G141" s="70"/>
      <c r="H141" s="70"/>
      <c r="I141" s="70"/>
      <c r="J141" s="70"/>
      <c r="K141" s="70"/>
      <c r="L141" s="70"/>
    </row>
    <row r="142" spans="1:12" hidden="1" x14ac:dyDescent="0.2">
      <c r="A142" s="36"/>
      <c r="B142" s="37" t="s">
        <v>75</v>
      </c>
      <c r="C142" s="50" t="s">
        <v>76</v>
      </c>
      <c r="D142" s="45"/>
      <c r="E142" s="45"/>
      <c r="F142" s="38"/>
      <c r="G142" s="71"/>
      <c r="H142" s="71"/>
      <c r="I142" s="71"/>
      <c r="J142" s="71"/>
      <c r="K142" s="71"/>
      <c r="L142" s="71"/>
    </row>
    <row r="143" spans="1:12" hidden="1" x14ac:dyDescent="0.2">
      <c r="A143" s="36"/>
      <c r="B143" s="37" t="s">
        <v>77</v>
      </c>
      <c r="C143" s="50" t="s">
        <v>78</v>
      </c>
      <c r="D143" s="45"/>
      <c r="E143" s="45"/>
      <c r="F143" s="50"/>
      <c r="G143" s="71"/>
      <c r="H143" s="71"/>
      <c r="I143" s="71"/>
      <c r="J143" s="71"/>
      <c r="K143" s="71"/>
      <c r="L143" s="71"/>
    </row>
    <row r="144" spans="1:12" hidden="1" x14ac:dyDescent="0.2">
      <c r="A144" s="36"/>
      <c r="B144" s="37" t="s">
        <v>79</v>
      </c>
      <c r="C144" s="50" t="s">
        <v>80</v>
      </c>
      <c r="D144" s="45"/>
      <c r="E144" s="45"/>
      <c r="F144" s="50"/>
      <c r="G144" s="71"/>
      <c r="H144" s="71"/>
      <c r="I144" s="71"/>
      <c r="J144" s="71"/>
      <c r="K144" s="71"/>
      <c r="L144" s="71"/>
    </row>
    <row r="145" spans="1:12" hidden="1" x14ac:dyDescent="0.2">
      <c r="A145" s="36"/>
      <c r="B145" s="37" t="s">
        <v>81</v>
      </c>
      <c r="C145" s="50" t="s">
        <v>82</v>
      </c>
      <c r="D145" s="45"/>
      <c r="E145" s="45"/>
      <c r="F145" s="50"/>
      <c r="G145" s="71"/>
      <c r="H145" s="71"/>
      <c r="I145" s="71"/>
      <c r="J145" s="71"/>
      <c r="K145" s="71"/>
      <c r="L145" s="71"/>
    </row>
    <row r="146" spans="1:12" hidden="1" x14ac:dyDescent="0.2">
      <c r="A146" s="36"/>
      <c r="B146" s="37" t="s">
        <v>83</v>
      </c>
      <c r="C146" s="50" t="s">
        <v>84</v>
      </c>
      <c r="D146" s="45"/>
      <c r="E146" s="45"/>
      <c r="F146" s="50"/>
      <c r="G146" s="71"/>
      <c r="H146" s="71"/>
      <c r="I146" s="71"/>
      <c r="J146" s="71"/>
      <c r="K146" s="71"/>
      <c r="L146" s="71"/>
    </row>
    <row r="147" spans="1:12" x14ac:dyDescent="0.2">
      <c r="A147" s="36"/>
      <c r="B147" s="37" t="s">
        <v>85</v>
      </c>
      <c r="C147" s="50" t="s">
        <v>86</v>
      </c>
      <c r="D147" s="45"/>
      <c r="E147" s="45"/>
      <c r="F147" s="50"/>
      <c r="G147" s="72">
        <f>'05'!E25</f>
        <v>0</v>
      </c>
      <c r="H147" s="72">
        <f>'05'!F25</f>
        <v>0</v>
      </c>
      <c r="I147" s="72">
        <f>'05'!G25</f>
        <v>0</v>
      </c>
      <c r="J147" s="72">
        <f>'05'!H25</f>
        <v>0</v>
      </c>
      <c r="K147" s="72">
        <f>'05'!I25</f>
        <v>0</v>
      </c>
      <c r="L147" s="72">
        <f>'05'!J25</f>
        <v>0</v>
      </c>
    </row>
    <row r="148" spans="1:12" x14ac:dyDescent="0.2">
      <c r="A148" s="36"/>
      <c r="B148" s="37" t="s">
        <v>87</v>
      </c>
      <c r="C148" s="50" t="s">
        <v>88</v>
      </c>
      <c r="D148" s="45"/>
      <c r="E148" s="45"/>
      <c r="F148" s="50"/>
      <c r="G148" s="72">
        <f>'05'!E26</f>
        <v>274075</v>
      </c>
      <c r="H148" s="72">
        <f>'05'!F26</f>
        <v>282600</v>
      </c>
      <c r="I148" s="72">
        <f>'05'!G26</f>
        <v>148100</v>
      </c>
      <c r="J148" s="72">
        <f>'05'!H26</f>
        <v>282600</v>
      </c>
      <c r="K148" s="72">
        <f>'05'!I26</f>
        <v>282600</v>
      </c>
      <c r="L148" s="72">
        <f>'05'!J26</f>
        <v>282600</v>
      </c>
    </row>
    <row r="149" spans="1:12" x14ac:dyDescent="0.2">
      <c r="A149" s="73"/>
      <c r="B149" s="37" t="s">
        <v>89</v>
      </c>
      <c r="C149" s="50" t="s">
        <v>90</v>
      </c>
      <c r="D149" s="45"/>
      <c r="E149" s="45"/>
      <c r="F149" s="50"/>
      <c r="G149" s="72">
        <f>'05'!E27</f>
        <v>0</v>
      </c>
      <c r="H149" s="72">
        <f>'05'!F27</f>
        <v>0</v>
      </c>
      <c r="I149" s="72">
        <f>'05'!G27</f>
        <v>0</v>
      </c>
      <c r="J149" s="72">
        <f>'05'!H27</f>
        <v>0</v>
      </c>
      <c r="K149" s="72">
        <f>'05'!I27</f>
        <v>0</v>
      </c>
      <c r="L149" s="72">
        <f>'05'!J27</f>
        <v>0</v>
      </c>
    </row>
    <row r="150" spans="1:12" x14ac:dyDescent="0.2">
      <c r="A150" s="73"/>
      <c r="B150" s="37" t="s">
        <v>91</v>
      </c>
      <c r="C150" s="50" t="s">
        <v>92</v>
      </c>
      <c r="D150" s="45"/>
      <c r="E150" s="45"/>
      <c r="F150" s="50"/>
      <c r="G150" s="72">
        <f>'07'!E26</f>
        <v>0</v>
      </c>
      <c r="H150" s="72">
        <f>'07'!F26</f>
        <v>0</v>
      </c>
      <c r="I150" s="72">
        <f>'07'!G26</f>
        <v>0</v>
      </c>
      <c r="J150" s="72">
        <f>'07'!H26</f>
        <v>0</v>
      </c>
      <c r="K150" s="72">
        <f>'07'!I26</f>
        <v>0</v>
      </c>
      <c r="L150" s="72">
        <f>'07'!J26</f>
        <v>0</v>
      </c>
    </row>
    <row r="151" spans="1:12" x14ac:dyDescent="0.2">
      <c r="A151" s="73"/>
      <c r="B151" s="37" t="s">
        <v>93</v>
      </c>
      <c r="C151" s="50" t="s">
        <v>94</v>
      </c>
      <c r="D151" s="45"/>
      <c r="E151" s="45"/>
      <c r="F151" s="50"/>
      <c r="G151" s="72">
        <f>'08'!E21</f>
        <v>46037</v>
      </c>
      <c r="H151" s="72">
        <f>'08'!F21</f>
        <v>40000</v>
      </c>
      <c r="I151" s="72">
        <f>'08'!G21</f>
        <v>46000</v>
      </c>
      <c r="J151" s="72">
        <f>'08'!H21</f>
        <v>40000</v>
      </c>
      <c r="K151" s="72">
        <f>'08'!I21</f>
        <v>40000</v>
      </c>
      <c r="L151" s="72">
        <f>'08'!J21</f>
        <v>40000</v>
      </c>
    </row>
    <row r="152" spans="1:12" x14ac:dyDescent="0.2">
      <c r="A152" s="73"/>
      <c r="B152" s="37" t="s">
        <v>95</v>
      </c>
      <c r="C152" s="50" t="s">
        <v>96</v>
      </c>
      <c r="D152" s="45"/>
      <c r="E152" s="45"/>
      <c r="F152" s="50"/>
      <c r="G152" s="72">
        <f>'09'!E24</f>
        <v>309726.62</v>
      </c>
      <c r="H152" s="72">
        <f>'09'!F24</f>
        <v>15500</v>
      </c>
      <c r="I152" s="72">
        <f>'09'!G24</f>
        <v>44800</v>
      </c>
      <c r="J152" s="72">
        <f>'09'!H24</f>
        <v>15500</v>
      </c>
      <c r="K152" s="72">
        <f>'09'!I24</f>
        <v>15500</v>
      </c>
      <c r="L152" s="72">
        <f>'09'!J24</f>
        <v>15500</v>
      </c>
    </row>
    <row r="153" spans="1:12" x14ac:dyDescent="0.2">
      <c r="A153" s="73"/>
      <c r="B153" s="37" t="s">
        <v>97</v>
      </c>
      <c r="C153" s="50" t="s">
        <v>98</v>
      </c>
      <c r="D153" s="45"/>
      <c r="E153" s="45"/>
      <c r="F153" s="50"/>
      <c r="G153" s="72">
        <f>'10'!E21</f>
        <v>2872.45</v>
      </c>
      <c r="H153" s="72">
        <f>'10'!F21</f>
        <v>800</v>
      </c>
      <c r="I153" s="72">
        <f>'10'!G21</f>
        <v>800</v>
      </c>
      <c r="J153" s="72">
        <f>'10'!H21</f>
        <v>800</v>
      </c>
      <c r="K153" s="72">
        <f>'10'!I21</f>
        <v>800</v>
      </c>
      <c r="L153" s="72">
        <f>'10'!J21</f>
        <v>800</v>
      </c>
    </row>
    <row r="154" spans="1:12" x14ac:dyDescent="0.2">
      <c r="A154" s="73"/>
      <c r="B154" s="37" t="s">
        <v>99</v>
      </c>
      <c r="C154" s="50" t="s">
        <v>100</v>
      </c>
      <c r="D154" s="45"/>
      <c r="E154" s="45"/>
      <c r="F154" s="50"/>
      <c r="G154" s="72">
        <f>'10'!E22</f>
        <v>0</v>
      </c>
      <c r="H154" s="72">
        <f>'10'!F22</f>
        <v>0</v>
      </c>
      <c r="I154" s="72">
        <f>'10'!G22</f>
        <v>0</v>
      </c>
      <c r="J154" s="72">
        <f>'10'!H22</f>
        <v>0</v>
      </c>
      <c r="K154" s="72">
        <f>'10'!I22</f>
        <v>0</v>
      </c>
      <c r="L154" s="72">
        <f>'10'!J22</f>
        <v>0</v>
      </c>
    </row>
    <row r="155" spans="1:12" x14ac:dyDescent="0.2">
      <c r="A155" s="73"/>
      <c r="B155" s="37" t="s">
        <v>101</v>
      </c>
      <c r="C155" s="50" t="s">
        <v>102</v>
      </c>
      <c r="D155" s="45"/>
      <c r="E155" s="45"/>
      <c r="F155" s="50"/>
      <c r="G155" s="72">
        <f>'10'!E23</f>
        <v>1000</v>
      </c>
      <c r="H155" s="72">
        <f>'10'!F23</f>
        <v>25000</v>
      </c>
      <c r="I155" s="72">
        <f>'10'!G23</f>
        <v>25000</v>
      </c>
      <c r="J155" s="72">
        <f>'10'!H23</f>
        <v>0</v>
      </c>
      <c r="K155" s="72">
        <f>'10'!I23</f>
        <v>0</v>
      </c>
      <c r="L155" s="72">
        <f>'10'!J23</f>
        <v>0</v>
      </c>
    </row>
    <row r="156" spans="1:12" x14ac:dyDescent="0.2">
      <c r="A156" s="73"/>
      <c r="B156" s="37">
        <v>103</v>
      </c>
      <c r="C156" s="50" t="s">
        <v>103</v>
      </c>
      <c r="D156" s="45"/>
      <c r="E156" s="45"/>
      <c r="F156" s="50"/>
      <c r="G156" s="72">
        <f>'10'!E24</f>
        <v>0</v>
      </c>
      <c r="H156" s="72">
        <f>'10'!F24</f>
        <v>0</v>
      </c>
      <c r="I156" s="72">
        <f>'10'!G24</f>
        <v>0</v>
      </c>
      <c r="J156" s="72">
        <f>'10'!H24</f>
        <v>0</v>
      </c>
      <c r="K156" s="72">
        <f>'10'!I24</f>
        <v>0</v>
      </c>
      <c r="L156" s="72">
        <f>'10'!J24</f>
        <v>0</v>
      </c>
    </row>
    <row r="157" spans="1:12" x14ac:dyDescent="0.2">
      <c r="A157" s="73"/>
      <c r="B157" s="37">
        <v>110</v>
      </c>
      <c r="C157" s="50" t="s">
        <v>45</v>
      </c>
      <c r="D157" s="45"/>
      <c r="E157" s="45"/>
      <c r="F157" s="50"/>
      <c r="G157" s="72">
        <f>'11'!E21</f>
        <v>0</v>
      </c>
      <c r="H157" s="72">
        <f>'11'!F21</f>
        <v>0</v>
      </c>
      <c r="I157" s="72">
        <f>'11'!G21</f>
        <v>0</v>
      </c>
      <c r="J157" s="72">
        <f>'11'!H21</f>
        <v>25000</v>
      </c>
      <c r="K157" s="72">
        <f>'11'!I21</f>
        <v>25000</v>
      </c>
      <c r="L157" s="72">
        <f>'11'!J21</f>
        <v>25000</v>
      </c>
    </row>
    <row r="158" spans="1:12" x14ac:dyDescent="0.2">
      <c r="A158" s="73"/>
      <c r="B158" s="37" t="s">
        <v>104</v>
      </c>
      <c r="C158" s="50" t="s">
        <v>105</v>
      </c>
      <c r="D158" s="45"/>
      <c r="E158" s="45"/>
      <c r="F158" s="50"/>
      <c r="G158" s="72">
        <f>'12'!E36</f>
        <v>360380</v>
      </c>
      <c r="H158" s="72">
        <f>'12'!F36</f>
        <v>218200</v>
      </c>
      <c r="I158" s="72">
        <f>'12'!G36</f>
        <v>228300</v>
      </c>
      <c r="J158" s="72">
        <f>'12'!H36</f>
        <v>270000</v>
      </c>
      <c r="K158" s="72">
        <f>'12'!I36</f>
        <v>270000</v>
      </c>
      <c r="L158" s="72">
        <f>'12'!J36</f>
        <v>270000</v>
      </c>
    </row>
    <row r="159" spans="1:12" x14ac:dyDescent="0.2">
      <c r="A159" s="73"/>
      <c r="B159" s="37" t="s">
        <v>106</v>
      </c>
      <c r="C159" s="50" t="s">
        <v>107</v>
      </c>
      <c r="D159" s="45"/>
      <c r="E159" s="45"/>
      <c r="F159" s="50"/>
      <c r="G159" s="72">
        <f>'12'!E37</f>
        <v>0</v>
      </c>
      <c r="H159" s="72">
        <f>'12'!F37</f>
        <v>0</v>
      </c>
      <c r="I159" s="72">
        <f>'12'!G37</f>
        <v>0</v>
      </c>
      <c r="J159" s="72">
        <f>'12'!H37</f>
        <v>0</v>
      </c>
      <c r="K159" s="72">
        <f>'12'!I37</f>
        <v>0</v>
      </c>
      <c r="L159" s="72">
        <f>'12'!J37</f>
        <v>0</v>
      </c>
    </row>
    <row r="160" spans="1:12" x14ac:dyDescent="0.2">
      <c r="A160" s="73"/>
      <c r="B160" s="37" t="s">
        <v>108</v>
      </c>
      <c r="C160" s="50" t="s">
        <v>109</v>
      </c>
      <c r="D160" s="45"/>
      <c r="E160" s="45"/>
      <c r="F160" s="50"/>
      <c r="G160" s="72">
        <f>'12'!E38</f>
        <v>0</v>
      </c>
      <c r="H160" s="72">
        <f>'12'!F38</f>
        <v>0</v>
      </c>
      <c r="I160" s="72">
        <f>'12'!G38</f>
        <v>0</v>
      </c>
      <c r="J160" s="72">
        <f>'12'!H38</f>
        <v>0</v>
      </c>
      <c r="K160" s="72">
        <f>'12'!I38</f>
        <v>0</v>
      </c>
      <c r="L160" s="72">
        <f>'12'!J38</f>
        <v>0</v>
      </c>
    </row>
    <row r="161" spans="1:12" x14ac:dyDescent="0.2">
      <c r="A161" s="73"/>
      <c r="B161" s="37" t="s">
        <v>110</v>
      </c>
      <c r="C161" s="50" t="s">
        <v>111</v>
      </c>
      <c r="D161" s="45"/>
      <c r="E161" s="45"/>
      <c r="F161" s="50"/>
      <c r="G161" s="72">
        <f>'12'!E39</f>
        <v>840</v>
      </c>
      <c r="H161" s="72">
        <f>'12'!F39</f>
        <v>1100</v>
      </c>
      <c r="I161" s="72">
        <f>'12'!G39</f>
        <v>1100</v>
      </c>
      <c r="J161" s="72">
        <f>'12'!H39</f>
        <v>1100</v>
      </c>
      <c r="K161" s="72">
        <f>'12'!I39</f>
        <v>1100</v>
      </c>
      <c r="L161" s="72">
        <f>'12'!J39</f>
        <v>1100</v>
      </c>
    </row>
    <row r="162" spans="1:12" x14ac:dyDescent="0.2">
      <c r="A162" s="73"/>
      <c r="B162" s="37" t="s">
        <v>112</v>
      </c>
      <c r="C162" s="50" t="s">
        <v>113</v>
      </c>
      <c r="D162" s="45"/>
      <c r="E162" s="45"/>
      <c r="F162" s="50"/>
      <c r="G162" s="72">
        <f>'12'!E40</f>
        <v>1375</v>
      </c>
      <c r="H162" s="72">
        <f>'12'!F40</f>
        <v>0</v>
      </c>
      <c r="I162" s="72">
        <f>'12'!G40</f>
        <v>0</v>
      </c>
      <c r="J162" s="72">
        <f>'12'!H40</f>
        <v>0</v>
      </c>
      <c r="K162" s="72">
        <f>'12'!I40</f>
        <v>0</v>
      </c>
      <c r="L162" s="72">
        <f>'12'!J40</f>
        <v>0</v>
      </c>
    </row>
    <row r="163" spans="1:12" x14ac:dyDescent="0.2">
      <c r="A163" s="73"/>
      <c r="B163" s="37" t="s">
        <v>114</v>
      </c>
      <c r="C163" s="50" t="s">
        <v>115</v>
      </c>
      <c r="D163" s="45"/>
      <c r="E163" s="45"/>
      <c r="F163" s="50"/>
      <c r="G163" s="72">
        <f>'12'!E41</f>
        <v>0</v>
      </c>
      <c r="H163" s="72">
        <f>'12'!F41</f>
        <v>0</v>
      </c>
      <c r="I163" s="72">
        <f>'12'!G41</f>
        <v>0</v>
      </c>
      <c r="J163" s="72">
        <f>'12'!H41</f>
        <v>0</v>
      </c>
      <c r="K163" s="72">
        <f>'12'!I41</f>
        <v>0</v>
      </c>
      <c r="L163" s="72">
        <f>'12'!J41</f>
        <v>0</v>
      </c>
    </row>
    <row r="164" spans="1:12" x14ac:dyDescent="0.2">
      <c r="A164" s="73"/>
      <c r="B164" s="37" t="s">
        <v>116</v>
      </c>
      <c r="C164" s="50" t="s">
        <v>47</v>
      </c>
      <c r="D164" s="45"/>
      <c r="E164" s="45"/>
      <c r="F164" s="50"/>
      <c r="G164" s="72">
        <f>'13'!E25</f>
        <v>0</v>
      </c>
      <c r="H164" s="72">
        <f>'13'!F25</f>
        <v>0</v>
      </c>
      <c r="I164" s="72">
        <f>'13'!G25</f>
        <v>0</v>
      </c>
      <c r="J164" s="72">
        <f>'13'!H25</f>
        <v>0</v>
      </c>
      <c r="K164" s="72">
        <f>'13'!I25</f>
        <v>0</v>
      </c>
      <c r="L164" s="72">
        <f>'13'!J25</f>
        <v>0</v>
      </c>
    </row>
    <row r="165" spans="1:12" x14ac:dyDescent="0.2">
      <c r="A165" s="73"/>
      <c r="B165" s="37" t="s">
        <v>117</v>
      </c>
      <c r="C165" s="50" t="s">
        <v>118</v>
      </c>
      <c r="D165" s="45"/>
      <c r="E165" s="45"/>
      <c r="F165" s="50"/>
      <c r="G165" s="72">
        <f>'15'!E25</f>
        <v>10173.75</v>
      </c>
      <c r="H165" s="72">
        <f>'15'!F25</f>
        <v>0</v>
      </c>
      <c r="I165" s="72">
        <f>'15'!G25</f>
        <v>0</v>
      </c>
      <c r="J165" s="72">
        <f>'15'!H25</f>
        <v>0</v>
      </c>
      <c r="K165" s="72">
        <f>'15'!I25</f>
        <v>0</v>
      </c>
      <c r="L165" s="72">
        <f>'15'!J25</f>
        <v>0</v>
      </c>
    </row>
    <row r="166" spans="1:12" x14ac:dyDescent="0.2">
      <c r="A166" s="73"/>
      <c r="B166" s="37">
        <v>152</v>
      </c>
      <c r="C166" s="50" t="s">
        <v>119</v>
      </c>
      <c r="D166" s="45"/>
      <c r="E166" s="45"/>
      <c r="F166" s="50"/>
      <c r="G166" s="72">
        <f>'15'!E26</f>
        <v>0</v>
      </c>
      <c r="H166" s="72">
        <f>'15'!F26</f>
        <v>150000</v>
      </c>
      <c r="I166" s="72">
        <f>'15'!G26</f>
        <v>192200</v>
      </c>
      <c r="J166" s="72">
        <f>'15'!H26</f>
        <v>150000</v>
      </c>
      <c r="K166" s="72">
        <f>'15'!I26</f>
        <v>150000</v>
      </c>
      <c r="L166" s="72">
        <f>'15'!J26</f>
        <v>150000</v>
      </c>
    </row>
    <row r="167" spans="1:12" ht="9.6" customHeight="1" x14ac:dyDescent="0.2">
      <c r="A167" s="73"/>
      <c r="B167" s="37" t="s">
        <v>120</v>
      </c>
      <c r="C167" s="50" t="s">
        <v>121</v>
      </c>
      <c r="D167" s="45"/>
      <c r="E167" s="45"/>
      <c r="F167" s="50"/>
      <c r="G167" s="72">
        <f>'15'!E27</f>
        <v>0</v>
      </c>
      <c r="H167" s="72">
        <f>'15'!F27</f>
        <v>0</v>
      </c>
      <c r="I167" s="72">
        <f>'15'!G27</f>
        <v>0</v>
      </c>
      <c r="J167" s="72">
        <f>'15'!H27</f>
        <v>0</v>
      </c>
      <c r="K167" s="72">
        <f>'15'!I27</f>
        <v>0</v>
      </c>
      <c r="L167" s="72">
        <f>'15'!J27</f>
        <v>0</v>
      </c>
    </row>
    <row r="168" spans="1:12" ht="9.6" customHeight="1" x14ac:dyDescent="0.2">
      <c r="A168" s="73"/>
      <c r="B168" s="37">
        <v>154</v>
      </c>
      <c r="C168" s="50" t="s">
        <v>122</v>
      </c>
      <c r="D168" s="45"/>
      <c r="E168" s="45"/>
      <c r="F168" s="50"/>
      <c r="G168" s="72">
        <f>'15'!E28</f>
        <v>0</v>
      </c>
      <c r="H168" s="72">
        <f>'15'!F28</f>
        <v>0</v>
      </c>
      <c r="I168" s="72">
        <f>'15'!G28</f>
        <v>0</v>
      </c>
      <c r="J168" s="72">
        <f>'15'!H28</f>
        <v>0</v>
      </c>
      <c r="K168" s="72">
        <f>'15'!I28</f>
        <v>0</v>
      </c>
      <c r="L168" s="72">
        <f>'15'!J28</f>
        <v>0</v>
      </c>
    </row>
    <row r="169" spans="1:12" ht="9.6" customHeight="1" x14ac:dyDescent="0.2">
      <c r="A169" s="73"/>
      <c r="B169" s="37">
        <v>155</v>
      </c>
      <c r="C169" s="50" t="s">
        <v>123</v>
      </c>
      <c r="D169" s="45"/>
      <c r="E169" s="45"/>
      <c r="F169" s="50"/>
      <c r="G169" s="72">
        <f>'15'!E29</f>
        <v>0</v>
      </c>
      <c r="H169" s="72">
        <f>'15'!F29</f>
        <v>0</v>
      </c>
      <c r="I169" s="72">
        <f>'15'!G29</f>
        <v>0</v>
      </c>
      <c r="J169" s="72">
        <f>'15'!H29</f>
        <v>0</v>
      </c>
      <c r="K169" s="72">
        <f>'15'!I29</f>
        <v>0</v>
      </c>
      <c r="L169" s="72">
        <f>'15'!J29</f>
        <v>0</v>
      </c>
    </row>
    <row r="170" spans="1:12" ht="9.6" customHeight="1" x14ac:dyDescent="0.2">
      <c r="A170" s="73"/>
      <c r="B170" s="37" t="s">
        <v>124</v>
      </c>
      <c r="C170" s="50" t="s">
        <v>49</v>
      </c>
      <c r="D170" s="45"/>
      <c r="E170" s="45"/>
      <c r="F170" s="50"/>
      <c r="G170" s="72">
        <f>'17'!E34</f>
        <v>0</v>
      </c>
      <c r="H170" s="72">
        <f>'17'!F34</f>
        <v>0</v>
      </c>
      <c r="I170" s="72">
        <f>'17'!G34</f>
        <v>0</v>
      </c>
      <c r="J170" s="72">
        <f>'17'!H34</f>
        <v>0</v>
      </c>
      <c r="K170" s="72">
        <f>'17'!I34</f>
        <v>0</v>
      </c>
      <c r="L170" s="72">
        <f>'17'!J34</f>
        <v>0</v>
      </c>
    </row>
    <row r="171" spans="1:12" ht="9.6" customHeight="1" x14ac:dyDescent="0.2">
      <c r="A171" s="73"/>
      <c r="B171" s="37" t="s">
        <v>125</v>
      </c>
      <c r="C171" s="50" t="s">
        <v>122</v>
      </c>
      <c r="D171" s="45"/>
      <c r="E171" s="45"/>
      <c r="F171" s="50"/>
      <c r="G171" s="72">
        <f>'17'!E35</f>
        <v>0</v>
      </c>
      <c r="H171" s="72">
        <f>'17'!F35</f>
        <v>0</v>
      </c>
      <c r="I171" s="72">
        <f>'17'!G35</f>
        <v>0</v>
      </c>
      <c r="J171" s="72">
        <f>'17'!H35</f>
        <v>0</v>
      </c>
      <c r="K171" s="72">
        <f>'17'!I35</f>
        <v>0</v>
      </c>
      <c r="L171" s="72">
        <f>'17'!J35</f>
        <v>0</v>
      </c>
    </row>
    <row r="172" spans="1:12" ht="9.6" customHeight="1" x14ac:dyDescent="0.2">
      <c r="A172" s="73"/>
      <c r="B172" s="37" t="s">
        <v>126</v>
      </c>
      <c r="C172" s="50" t="s">
        <v>123</v>
      </c>
      <c r="D172" s="45"/>
      <c r="E172" s="45"/>
      <c r="F172" s="50"/>
      <c r="G172" s="72">
        <f>'17'!E36</f>
        <v>0</v>
      </c>
      <c r="H172" s="72">
        <f>'17'!F36</f>
        <v>0</v>
      </c>
      <c r="I172" s="72">
        <f>'17'!G36</f>
        <v>0</v>
      </c>
      <c r="J172" s="72">
        <f>'17'!H36</f>
        <v>0</v>
      </c>
      <c r="K172" s="72">
        <f>'17'!I36</f>
        <v>0</v>
      </c>
      <c r="L172" s="72">
        <f>'17'!J36</f>
        <v>0</v>
      </c>
    </row>
    <row r="173" spans="1:12" ht="9.6" customHeight="1" x14ac:dyDescent="0.2">
      <c r="A173" s="73"/>
      <c r="B173" s="37" t="s">
        <v>127</v>
      </c>
      <c r="C173" s="50" t="s">
        <v>119</v>
      </c>
      <c r="D173" s="45"/>
      <c r="E173" s="45"/>
      <c r="F173" s="50"/>
      <c r="G173" s="72">
        <f>'17'!E37</f>
        <v>203712.86000000004</v>
      </c>
      <c r="H173" s="72">
        <f>'17'!F37</f>
        <v>0</v>
      </c>
      <c r="I173" s="72">
        <f>'17'!G37</f>
        <v>0</v>
      </c>
      <c r="J173" s="72">
        <f>'17'!H37</f>
        <v>0</v>
      </c>
      <c r="K173" s="72">
        <f>'17'!I37</f>
        <v>0</v>
      </c>
      <c r="L173" s="72">
        <f>'17'!J37</f>
        <v>0</v>
      </c>
    </row>
    <row r="174" spans="1:12" ht="9.6" customHeight="1" x14ac:dyDescent="0.2">
      <c r="A174" s="73"/>
      <c r="B174" s="37" t="s">
        <v>128</v>
      </c>
      <c r="C174" s="50" t="s">
        <v>129</v>
      </c>
      <c r="D174" s="45"/>
      <c r="E174" s="45"/>
      <c r="F174" s="50"/>
      <c r="G174" s="72">
        <f>'20'!E26</f>
        <v>23300</v>
      </c>
      <c r="H174" s="72">
        <f>'20'!F26</f>
        <v>0</v>
      </c>
      <c r="I174" s="72">
        <f>'20'!G26</f>
        <v>45600</v>
      </c>
      <c r="J174" s="72">
        <f>'20'!H26</f>
        <v>0</v>
      </c>
      <c r="K174" s="72">
        <f>'20'!I26</f>
        <v>0</v>
      </c>
      <c r="L174" s="72">
        <f>'20'!J26</f>
        <v>0</v>
      </c>
    </row>
    <row r="175" spans="1:12" ht="9.6" customHeight="1" x14ac:dyDescent="0.2">
      <c r="A175" s="73"/>
      <c r="B175" s="37" t="s">
        <v>130</v>
      </c>
      <c r="C175" s="50" t="s">
        <v>131</v>
      </c>
      <c r="D175" s="45"/>
      <c r="E175" s="45"/>
      <c r="F175" s="50"/>
      <c r="G175" s="72">
        <f>'20'!E27</f>
        <v>77157176.339999989</v>
      </c>
      <c r="H175" s="72">
        <f>'20'!F27</f>
        <v>81645000</v>
      </c>
      <c r="I175" s="72">
        <f>'20'!G27</f>
        <v>77979200</v>
      </c>
      <c r="J175" s="72">
        <f>'20'!H27</f>
        <v>80659900</v>
      </c>
      <c r="K175" s="72">
        <f>'20'!I27</f>
        <v>79989600</v>
      </c>
      <c r="L175" s="72">
        <f>'20'!J27</f>
        <v>79676300</v>
      </c>
    </row>
    <row r="176" spans="1:12" ht="9.6" customHeight="1" x14ac:dyDescent="0.2">
      <c r="A176" s="73"/>
      <c r="B176" s="37" t="s">
        <v>132</v>
      </c>
      <c r="C176" s="50" t="s">
        <v>133</v>
      </c>
      <c r="D176" s="45"/>
      <c r="E176" s="45"/>
      <c r="F176" s="50"/>
      <c r="G176" s="72">
        <f>'20'!E28</f>
        <v>0</v>
      </c>
      <c r="H176" s="72">
        <f>'20'!F28</f>
        <v>0</v>
      </c>
      <c r="I176" s="72">
        <f>'20'!G28</f>
        <v>0</v>
      </c>
      <c r="J176" s="72">
        <f>'20'!H28</f>
        <v>0</v>
      </c>
      <c r="K176" s="72">
        <f>'20'!I28</f>
        <v>0</v>
      </c>
      <c r="L176" s="72">
        <f>'20'!J28</f>
        <v>0</v>
      </c>
    </row>
    <row r="177" spans="1:12" ht="9.6" customHeight="1" x14ac:dyDescent="0.2">
      <c r="A177" s="73"/>
      <c r="B177" s="37" t="s">
        <v>134</v>
      </c>
      <c r="C177" s="50" t="s">
        <v>135</v>
      </c>
      <c r="D177" s="45"/>
      <c r="E177" s="45"/>
      <c r="F177" s="50"/>
      <c r="G177" s="72">
        <f>'20'!E29</f>
        <v>451823.78</v>
      </c>
      <c r="H177" s="72">
        <f>'20'!F29</f>
        <v>1037500</v>
      </c>
      <c r="I177" s="72">
        <f>'20'!G29</f>
        <v>1094800</v>
      </c>
      <c r="J177" s="72">
        <f>'20'!H29</f>
        <v>167500</v>
      </c>
      <c r="K177" s="72">
        <f>'20'!I29</f>
        <v>167500</v>
      </c>
      <c r="L177" s="72">
        <f>'20'!J29</f>
        <v>167500</v>
      </c>
    </row>
    <row r="178" spans="1:12" x14ac:dyDescent="0.2">
      <c r="A178" s="73"/>
      <c r="B178" s="37" t="s">
        <v>136</v>
      </c>
      <c r="C178" s="50" t="s">
        <v>137</v>
      </c>
      <c r="D178" s="45"/>
      <c r="E178" s="45"/>
      <c r="F178" s="50"/>
      <c r="G178" s="72">
        <f>'20'!E30</f>
        <v>36455171.240000002</v>
      </c>
      <c r="H178" s="72">
        <f>'20'!F30</f>
        <v>37240500</v>
      </c>
      <c r="I178" s="72">
        <f>'20'!G30</f>
        <v>36520700</v>
      </c>
      <c r="J178" s="72">
        <f>'20'!H30</f>
        <v>38076700</v>
      </c>
      <c r="K178" s="72">
        <f>'20'!I30</f>
        <v>38817200</v>
      </c>
      <c r="L178" s="72">
        <f>'20'!J30</f>
        <v>39570300</v>
      </c>
    </row>
    <row r="179" spans="1:12" x14ac:dyDescent="0.2">
      <c r="A179" s="73"/>
      <c r="B179" s="37" t="s">
        <v>138</v>
      </c>
      <c r="C179" s="50" t="s">
        <v>139</v>
      </c>
      <c r="D179" s="45"/>
      <c r="E179" s="45"/>
      <c r="F179" s="50"/>
      <c r="G179" s="72">
        <f>'20'!E31</f>
        <v>288432.32</v>
      </c>
      <c r="H179" s="72">
        <f>'20'!F31</f>
        <v>215500</v>
      </c>
      <c r="I179" s="72">
        <f>'20'!G31</f>
        <v>294200</v>
      </c>
      <c r="J179" s="72">
        <f>'20'!H31</f>
        <v>245500</v>
      </c>
      <c r="K179" s="72">
        <f>'20'!I31</f>
        <v>245500</v>
      </c>
      <c r="L179" s="72">
        <f>'20'!J31</f>
        <v>245500</v>
      </c>
    </row>
    <row r="180" spans="1:12" x14ac:dyDescent="0.2">
      <c r="A180" s="73"/>
      <c r="B180" s="37">
        <v>208</v>
      </c>
      <c r="C180" s="50" t="s">
        <v>140</v>
      </c>
      <c r="D180" s="45"/>
      <c r="E180" s="45"/>
      <c r="F180" s="50"/>
      <c r="G180" s="72">
        <f>'20'!E32</f>
        <v>0</v>
      </c>
      <c r="H180" s="72">
        <f>'20'!F32</f>
        <v>0</v>
      </c>
      <c r="I180" s="72">
        <f>'20'!G32</f>
        <v>0</v>
      </c>
      <c r="J180" s="72">
        <f>'20'!H32</f>
        <v>0</v>
      </c>
      <c r="K180" s="72">
        <f>'20'!I32</f>
        <v>0</v>
      </c>
      <c r="L180" s="72">
        <f>'20'!J32</f>
        <v>0</v>
      </c>
    </row>
    <row r="181" spans="1:12" x14ac:dyDescent="0.2">
      <c r="A181" s="73"/>
      <c r="B181" s="74" t="s">
        <v>141</v>
      </c>
      <c r="C181" s="50" t="s">
        <v>142</v>
      </c>
      <c r="D181" s="45"/>
      <c r="E181" s="45"/>
      <c r="F181" s="50"/>
      <c r="G181" s="72">
        <f>'30'!E39</f>
        <v>599039.62</v>
      </c>
      <c r="H181" s="72">
        <f>'30'!F39</f>
        <v>318000</v>
      </c>
      <c r="I181" s="72">
        <f>'30'!G39</f>
        <v>189900</v>
      </c>
      <c r="J181" s="72">
        <f>'30'!H39</f>
        <v>318000</v>
      </c>
      <c r="K181" s="72">
        <f>'30'!I39</f>
        <v>318000</v>
      </c>
      <c r="L181" s="72">
        <f>'30'!J39</f>
        <v>318000</v>
      </c>
    </row>
    <row r="182" spans="1:12" x14ac:dyDescent="0.2">
      <c r="A182" s="73"/>
      <c r="B182" s="74" t="s">
        <v>143</v>
      </c>
      <c r="C182" s="50" t="s">
        <v>144</v>
      </c>
      <c r="D182" s="45"/>
      <c r="E182" s="45"/>
      <c r="F182" s="50"/>
      <c r="G182" s="72">
        <f>'30'!E40</f>
        <v>48883.689999999988</v>
      </c>
      <c r="H182" s="72">
        <f>'30'!F40</f>
        <v>49000</v>
      </c>
      <c r="I182" s="72">
        <f>'30'!G40</f>
        <v>45300</v>
      </c>
      <c r="J182" s="72">
        <f>'30'!H40</f>
        <v>69000</v>
      </c>
      <c r="K182" s="72">
        <f>'30'!I40</f>
        <v>69000</v>
      </c>
      <c r="L182" s="72">
        <f>'30'!J40</f>
        <v>69000</v>
      </c>
    </row>
    <row r="183" spans="1:12" x14ac:dyDescent="0.2">
      <c r="A183" s="73"/>
      <c r="B183" s="74" t="s">
        <v>145</v>
      </c>
      <c r="C183" s="50" t="s">
        <v>146</v>
      </c>
      <c r="D183" s="45"/>
      <c r="E183" s="45"/>
      <c r="F183" s="50"/>
      <c r="G183" s="72">
        <f>'30'!E41</f>
        <v>814978.96000000008</v>
      </c>
      <c r="H183" s="72">
        <f>'30'!F41</f>
        <v>612000</v>
      </c>
      <c r="I183" s="72">
        <f>'30'!G41</f>
        <v>495100</v>
      </c>
      <c r="J183" s="72">
        <f>'30'!H41</f>
        <v>624000</v>
      </c>
      <c r="K183" s="72">
        <f>'30'!I41</f>
        <v>624000</v>
      </c>
      <c r="L183" s="72">
        <f>'30'!J41</f>
        <v>624000</v>
      </c>
    </row>
    <row r="184" spans="1:12" x14ac:dyDescent="0.2">
      <c r="A184" s="73"/>
      <c r="B184" s="74" t="s">
        <v>147</v>
      </c>
      <c r="C184" s="50" t="s">
        <v>148</v>
      </c>
      <c r="D184" s="45"/>
      <c r="E184" s="45"/>
      <c r="F184" s="50"/>
      <c r="G184" s="72">
        <f>'30'!E42</f>
        <v>54135</v>
      </c>
      <c r="H184" s="72">
        <f>'30'!F42</f>
        <v>43000</v>
      </c>
      <c r="I184" s="72">
        <f>'30'!G42</f>
        <v>48600</v>
      </c>
      <c r="J184" s="72">
        <f>'30'!H42</f>
        <v>55200</v>
      </c>
      <c r="K184" s="72">
        <f>'30'!I42</f>
        <v>55200</v>
      </c>
      <c r="L184" s="72">
        <f>'30'!J42</f>
        <v>55300</v>
      </c>
    </row>
    <row r="185" spans="1:12" ht="12.6" customHeight="1" x14ac:dyDescent="0.2">
      <c r="A185" s="73"/>
      <c r="B185" s="74" t="s">
        <v>149</v>
      </c>
      <c r="C185" s="50" t="s">
        <v>150</v>
      </c>
      <c r="D185" s="45"/>
      <c r="E185" s="45"/>
      <c r="F185" s="50"/>
      <c r="G185" s="72">
        <f>'30'!E43</f>
        <v>0</v>
      </c>
      <c r="H185" s="72">
        <f>'30'!F43</f>
        <v>0</v>
      </c>
      <c r="I185" s="72">
        <f>'30'!G43</f>
        <v>0</v>
      </c>
      <c r="J185" s="72">
        <f>'30'!H43</f>
        <v>0</v>
      </c>
      <c r="K185" s="72">
        <f>'30'!I43</f>
        <v>0</v>
      </c>
      <c r="L185" s="72">
        <f>'30'!J43</f>
        <v>0</v>
      </c>
    </row>
    <row r="186" spans="1:12" ht="12.6" customHeight="1" x14ac:dyDescent="0.2">
      <c r="A186" s="73"/>
      <c r="B186" s="74" t="s">
        <v>151</v>
      </c>
      <c r="C186" s="50" t="s">
        <v>152</v>
      </c>
      <c r="D186" s="45"/>
      <c r="E186" s="45"/>
      <c r="F186" s="50"/>
      <c r="G186" s="72">
        <f>'30'!E44</f>
        <v>0</v>
      </c>
      <c r="H186" s="72">
        <f>'30'!F44</f>
        <v>0</v>
      </c>
      <c r="I186" s="72">
        <f>'30'!G44</f>
        <v>0</v>
      </c>
      <c r="J186" s="72">
        <f>'30'!H44</f>
        <v>0</v>
      </c>
      <c r="K186" s="72">
        <f>'30'!I44</f>
        <v>0</v>
      </c>
      <c r="L186" s="72">
        <f>'30'!J44</f>
        <v>0</v>
      </c>
    </row>
    <row r="187" spans="1:12" ht="12.6" customHeight="1" x14ac:dyDescent="0.2">
      <c r="A187" s="73"/>
      <c r="B187" s="74">
        <v>306</v>
      </c>
      <c r="C187" s="50" t="s">
        <v>153</v>
      </c>
      <c r="D187" s="45"/>
      <c r="E187" s="45"/>
      <c r="F187" s="50"/>
      <c r="G187" s="72">
        <f>'30'!E45</f>
        <v>0</v>
      </c>
      <c r="H187" s="72">
        <f>'30'!F45</f>
        <v>7400</v>
      </c>
      <c r="I187" s="72">
        <f>'30'!G45</f>
        <v>1200</v>
      </c>
      <c r="J187" s="72">
        <f>'30'!H45</f>
        <v>7400</v>
      </c>
      <c r="K187" s="72">
        <f>'30'!I45</f>
        <v>7400</v>
      </c>
      <c r="L187" s="72">
        <f>'30'!J45</f>
        <v>7400</v>
      </c>
    </row>
    <row r="188" spans="1:12" x14ac:dyDescent="0.2">
      <c r="A188" s="73"/>
      <c r="B188" s="74" t="s">
        <v>154</v>
      </c>
      <c r="C188" s="50" t="s">
        <v>118</v>
      </c>
      <c r="D188" s="45"/>
      <c r="E188" s="45"/>
      <c r="F188" s="50"/>
      <c r="G188" s="72">
        <f>'35'!E27</f>
        <v>2653999.15</v>
      </c>
      <c r="H188" s="72">
        <f>'35'!F27</f>
        <v>3939400</v>
      </c>
      <c r="I188" s="72">
        <f>'35'!G27</f>
        <v>2636200</v>
      </c>
      <c r="J188" s="72">
        <f>'35'!H27</f>
        <v>2821800</v>
      </c>
      <c r="K188" s="72">
        <f>'35'!I27</f>
        <v>2796600</v>
      </c>
      <c r="L188" s="72">
        <f>'35'!J27</f>
        <v>2796600</v>
      </c>
    </row>
    <row r="189" spans="1:12" x14ac:dyDescent="0.2">
      <c r="A189" s="73"/>
      <c r="B189" s="74" t="s">
        <v>155</v>
      </c>
      <c r="C189" s="50" t="s">
        <v>156</v>
      </c>
      <c r="D189" s="45"/>
      <c r="E189" s="45"/>
      <c r="F189" s="50"/>
      <c r="G189" s="72">
        <f>'35'!E28</f>
        <v>7378.3099999999995</v>
      </c>
      <c r="H189" s="72">
        <f>'35'!F28</f>
        <v>50000</v>
      </c>
      <c r="I189" s="72">
        <f>'35'!G28</f>
        <v>33500</v>
      </c>
      <c r="J189" s="72">
        <f>'35'!H28</f>
        <v>50000</v>
      </c>
      <c r="K189" s="72">
        <f>'35'!I28</f>
        <v>50000</v>
      </c>
      <c r="L189" s="72">
        <f>'35'!J28</f>
        <v>50000</v>
      </c>
    </row>
    <row r="190" spans="1:12" x14ac:dyDescent="0.2">
      <c r="A190" s="73"/>
      <c r="B190" s="74" t="s">
        <v>157</v>
      </c>
      <c r="C190" s="50" t="s">
        <v>158</v>
      </c>
      <c r="D190" s="45"/>
      <c r="E190" s="45"/>
      <c r="F190" s="50"/>
      <c r="G190" s="72">
        <f>'35'!E29</f>
        <v>498545.94999999995</v>
      </c>
      <c r="H190" s="72">
        <f>'35'!F29</f>
        <v>995000</v>
      </c>
      <c r="I190" s="72">
        <f>'35'!G29</f>
        <v>362400</v>
      </c>
      <c r="J190" s="72">
        <f>'35'!H29</f>
        <v>630000</v>
      </c>
      <c r="K190" s="72">
        <f>'35'!I29</f>
        <v>630000</v>
      </c>
      <c r="L190" s="72">
        <f>'35'!J29</f>
        <v>630000</v>
      </c>
    </row>
    <row r="191" spans="1:12" x14ac:dyDescent="0.2">
      <c r="A191" s="75"/>
      <c r="B191" s="74" t="s">
        <v>159</v>
      </c>
      <c r="C191" s="50" t="s">
        <v>160</v>
      </c>
      <c r="D191" s="45"/>
      <c r="E191" s="45"/>
      <c r="F191" s="50"/>
      <c r="G191" s="72">
        <f>'35'!E30</f>
        <v>228902</v>
      </c>
      <c r="H191" s="72">
        <f>'35'!F30</f>
        <v>377000</v>
      </c>
      <c r="I191" s="72">
        <f>'35'!G30</f>
        <v>309000</v>
      </c>
      <c r="J191" s="72">
        <f>'35'!H30</f>
        <v>377000</v>
      </c>
      <c r="K191" s="72">
        <f>'35'!I30</f>
        <v>377000</v>
      </c>
      <c r="L191" s="72">
        <f>'35'!J30</f>
        <v>377000</v>
      </c>
    </row>
    <row r="192" spans="1:12" hidden="1" x14ac:dyDescent="0.2">
      <c r="A192" s="75"/>
      <c r="B192" s="74" t="s">
        <v>161</v>
      </c>
      <c r="C192" s="50" t="s">
        <v>162</v>
      </c>
      <c r="D192" s="45"/>
      <c r="E192" s="45"/>
      <c r="F192" s="50"/>
      <c r="G192" s="72">
        <f>'35'!E31</f>
        <v>157925</v>
      </c>
      <c r="H192" s="72"/>
      <c r="I192" s="72"/>
      <c r="J192" s="72"/>
      <c r="K192" s="72"/>
      <c r="L192" s="72"/>
    </row>
    <row r="193" spans="1:12" x14ac:dyDescent="0.2">
      <c r="A193" s="73"/>
      <c r="B193" s="74" t="s">
        <v>163</v>
      </c>
      <c r="C193" s="50" t="s">
        <v>164</v>
      </c>
      <c r="D193" s="45"/>
      <c r="E193" s="45"/>
      <c r="F193" s="50"/>
      <c r="G193" s="72">
        <f>'35'!E31</f>
        <v>157925</v>
      </c>
      <c r="H193" s="72">
        <f>'35'!F31</f>
        <v>160000</v>
      </c>
      <c r="I193" s="72">
        <f>'35'!G31</f>
        <v>177100</v>
      </c>
      <c r="J193" s="72">
        <f>'35'!H31</f>
        <v>170000</v>
      </c>
      <c r="K193" s="72">
        <f>'35'!I31</f>
        <v>170000</v>
      </c>
      <c r="L193" s="72">
        <f>'35'!J31</f>
        <v>170000</v>
      </c>
    </row>
    <row r="194" spans="1:12" x14ac:dyDescent="0.2">
      <c r="A194" s="73"/>
      <c r="B194" s="74" t="s">
        <v>165</v>
      </c>
      <c r="C194" s="50" t="s">
        <v>166</v>
      </c>
      <c r="D194" s="45"/>
      <c r="E194" s="45"/>
      <c r="F194" s="50"/>
      <c r="G194" s="72">
        <f>'40'!E28</f>
        <v>357300.76</v>
      </c>
      <c r="H194" s="72">
        <f>'40'!F28</f>
        <v>360000</v>
      </c>
      <c r="I194" s="72">
        <f>'40'!G28</f>
        <v>293600</v>
      </c>
      <c r="J194" s="72">
        <f>'40'!H28</f>
        <v>380000</v>
      </c>
      <c r="K194" s="72">
        <f>'40'!I28</f>
        <v>390000</v>
      </c>
      <c r="L194" s="72">
        <f>'40'!J28</f>
        <v>390000</v>
      </c>
    </row>
    <row r="195" spans="1:12" ht="12" customHeight="1" x14ac:dyDescent="0.2">
      <c r="A195" s="73"/>
      <c r="B195" s="74" t="s">
        <v>167</v>
      </c>
      <c r="C195" s="50" t="s">
        <v>168</v>
      </c>
      <c r="D195" s="45"/>
      <c r="E195" s="45"/>
      <c r="F195" s="50"/>
      <c r="G195" s="72">
        <f>'40'!E29</f>
        <v>0</v>
      </c>
      <c r="H195" s="72">
        <f>'40'!F29</f>
        <v>0</v>
      </c>
      <c r="I195" s="72">
        <f>'40'!G29</f>
        <v>0</v>
      </c>
      <c r="J195" s="72">
        <f>'40'!H29</f>
        <v>0</v>
      </c>
      <c r="K195" s="72">
        <f>'40'!I29</f>
        <v>0</v>
      </c>
      <c r="L195" s="72">
        <f>'40'!J29</f>
        <v>0</v>
      </c>
    </row>
    <row r="196" spans="1:12" ht="12" customHeight="1" x14ac:dyDescent="0.2">
      <c r="A196" s="73"/>
      <c r="B196" s="74" t="s">
        <v>169</v>
      </c>
      <c r="C196" s="50" t="s">
        <v>170</v>
      </c>
      <c r="D196" s="45"/>
      <c r="E196" s="45"/>
      <c r="F196" s="50"/>
      <c r="G196" s="72">
        <f>'40'!E30</f>
        <v>0</v>
      </c>
      <c r="H196" s="72">
        <f>'40'!F30</f>
        <v>0</v>
      </c>
      <c r="I196" s="72">
        <f>'40'!G30</f>
        <v>0</v>
      </c>
      <c r="J196" s="72">
        <f>'40'!H30</f>
        <v>0</v>
      </c>
      <c r="K196" s="72">
        <f>'40'!I30</f>
        <v>0</v>
      </c>
      <c r="L196" s="72">
        <f>'40'!J30</f>
        <v>0</v>
      </c>
    </row>
    <row r="197" spans="1:12" ht="12" customHeight="1" x14ac:dyDescent="0.2">
      <c r="A197" s="73"/>
      <c r="B197" s="76" t="s">
        <v>171</v>
      </c>
      <c r="C197" s="50" t="s">
        <v>172</v>
      </c>
      <c r="D197" s="45"/>
      <c r="E197" s="45"/>
      <c r="F197" s="50"/>
      <c r="G197" s="72">
        <f>'40'!E31</f>
        <v>0</v>
      </c>
      <c r="H197" s="72">
        <f>'40'!F31</f>
        <v>0</v>
      </c>
      <c r="I197" s="72">
        <f>'40'!G31</f>
        <v>0</v>
      </c>
      <c r="J197" s="72">
        <f>'40'!H31</f>
        <v>0</v>
      </c>
      <c r="K197" s="72">
        <f>'40'!I31</f>
        <v>0</v>
      </c>
      <c r="L197" s="72">
        <f>'40'!J31</f>
        <v>0</v>
      </c>
    </row>
    <row r="198" spans="1:12" ht="12" customHeight="1" x14ac:dyDescent="0.2">
      <c r="A198" s="73"/>
      <c r="B198" s="37" t="s">
        <v>173</v>
      </c>
      <c r="C198" s="50" t="s">
        <v>174</v>
      </c>
      <c r="D198" s="45"/>
      <c r="E198" s="45"/>
      <c r="F198" s="50"/>
      <c r="G198" s="72">
        <f>'40'!E32</f>
        <v>0</v>
      </c>
      <c r="H198" s="72">
        <f>'40'!F32</f>
        <v>0</v>
      </c>
      <c r="I198" s="72">
        <f>'40'!G32</f>
        <v>0</v>
      </c>
      <c r="J198" s="72">
        <f>'40'!H32</f>
        <v>0</v>
      </c>
      <c r="K198" s="72">
        <f>'40'!I32</f>
        <v>0</v>
      </c>
      <c r="L198" s="72">
        <f>'40'!J32</f>
        <v>0</v>
      </c>
    </row>
    <row r="199" spans="1:12" x14ac:dyDescent="0.2">
      <c r="A199" s="73"/>
      <c r="B199" s="37" t="s">
        <v>175</v>
      </c>
      <c r="C199" s="50" t="s">
        <v>176</v>
      </c>
      <c r="D199" s="45"/>
      <c r="E199" s="45"/>
      <c r="F199" s="50"/>
      <c r="G199" s="72">
        <f>'40'!E33</f>
        <v>4901</v>
      </c>
      <c r="H199" s="72">
        <f>'40'!F33</f>
        <v>0</v>
      </c>
      <c r="I199" s="72">
        <f>'40'!G33</f>
        <v>0</v>
      </c>
      <c r="J199" s="72">
        <f>'40'!H33</f>
        <v>0</v>
      </c>
      <c r="K199" s="72">
        <f>'40'!I33</f>
        <v>0</v>
      </c>
      <c r="L199" s="72">
        <f>'40'!J33</f>
        <v>0</v>
      </c>
    </row>
    <row r="200" spans="1:12" x14ac:dyDescent="0.2">
      <c r="A200" s="73"/>
      <c r="B200" s="74" t="s">
        <v>177</v>
      </c>
      <c r="C200" s="50" t="s">
        <v>178</v>
      </c>
      <c r="D200" s="45"/>
      <c r="E200" s="45"/>
      <c r="F200" s="50"/>
      <c r="G200" s="72">
        <f>'45'!E26</f>
        <v>349362.44000000006</v>
      </c>
      <c r="H200" s="72">
        <f>'45'!F26</f>
        <v>375800</v>
      </c>
      <c r="I200" s="72">
        <f>'45'!G26</f>
        <v>405900</v>
      </c>
      <c r="J200" s="72">
        <f>'45'!H26</f>
        <v>425800</v>
      </c>
      <c r="K200" s="72">
        <f>'45'!I26</f>
        <v>425800</v>
      </c>
      <c r="L200" s="72">
        <f>'45'!J26</f>
        <v>425800</v>
      </c>
    </row>
    <row r="201" spans="1:12" x14ac:dyDescent="0.2">
      <c r="A201" s="73"/>
      <c r="B201" s="74" t="s">
        <v>179</v>
      </c>
      <c r="C201" s="50" t="s">
        <v>180</v>
      </c>
      <c r="D201" s="45"/>
      <c r="E201" s="45"/>
      <c r="F201" s="50"/>
      <c r="G201" s="72">
        <f>'45'!E27</f>
        <v>0</v>
      </c>
      <c r="H201" s="72">
        <f>'45'!F27</f>
        <v>0</v>
      </c>
      <c r="I201" s="72">
        <f>'45'!G27</f>
        <v>0</v>
      </c>
      <c r="J201" s="72">
        <f>'45'!H27</f>
        <v>0</v>
      </c>
      <c r="K201" s="72">
        <f>'45'!I27</f>
        <v>0</v>
      </c>
      <c r="L201" s="72">
        <f>'45'!J27</f>
        <v>0</v>
      </c>
    </row>
    <row r="202" spans="1:12" x14ac:dyDescent="0.2">
      <c r="A202" s="73"/>
      <c r="B202" s="74" t="s">
        <v>181</v>
      </c>
      <c r="C202" s="50" t="s">
        <v>182</v>
      </c>
      <c r="D202" s="45"/>
      <c r="E202" s="45"/>
      <c r="F202" s="50"/>
      <c r="G202" s="72">
        <f>'45'!E28</f>
        <v>1200</v>
      </c>
      <c r="H202" s="72">
        <f>'45'!F28</f>
        <v>0</v>
      </c>
      <c r="I202" s="72">
        <f>'45'!G28</f>
        <v>0</v>
      </c>
      <c r="J202" s="72">
        <f>'45'!H28</f>
        <v>0</v>
      </c>
      <c r="K202" s="72">
        <f>'45'!I28</f>
        <v>0</v>
      </c>
      <c r="L202" s="72">
        <f>'45'!J28</f>
        <v>0</v>
      </c>
    </row>
    <row r="203" spans="1:12" x14ac:dyDescent="0.2">
      <c r="A203" s="73"/>
      <c r="B203" s="74" t="s">
        <v>183</v>
      </c>
      <c r="C203" s="50" t="s">
        <v>184</v>
      </c>
      <c r="D203" s="45"/>
      <c r="E203" s="45"/>
      <c r="F203" s="50"/>
      <c r="G203" s="72">
        <f>'45'!E29</f>
        <v>50257.04</v>
      </c>
      <c r="H203" s="72">
        <f>'45'!F29</f>
        <v>80000</v>
      </c>
      <c r="I203" s="72">
        <f>'45'!G29</f>
        <v>88000</v>
      </c>
      <c r="J203" s="72">
        <f>'45'!H29</f>
        <v>80000</v>
      </c>
      <c r="K203" s="72">
        <f>'45'!I29</f>
        <v>80000</v>
      </c>
      <c r="L203" s="72">
        <f>'45'!J29</f>
        <v>80000</v>
      </c>
    </row>
    <row r="204" spans="1:12" x14ac:dyDescent="0.2">
      <c r="A204" s="7"/>
      <c r="B204" s="74" t="s">
        <v>185</v>
      </c>
      <c r="C204" s="50" t="s">
        <v>186</v>
      </c>
      <c r="D204" s="45"/>
      <c r="E204" s="45"/>
      <c r="F204" s="77"/>
      <c r="G204" s="72">
        <f>'45'!E30</f>
        <v>0</v>
      </c>
      <c r="H204" s="72">
        <f>'45'!F30</f>
        <v>0</v>
      </c>
      <c r="I204" s="72">
        <f>'45'!G30</f>
        <v>0</v>
      </c>
      <c r="J204" s="72">
        <f>'45'!H30</f>
        <v>0</v>
      </c>
      <c r="K204" s="72">
        <f>'45'!I30</f>
        <v>0</v>
      </c>
      <c r="L204" s="72">
        <f>'45'!J30</f>
        <v>0</v>
      </c>
    </row>
    <row r="205" spans="1:12" ht="13.5" thickBot="1" x14ac:dyDescent="0.25">
      <c r="A205" s="73"/>
      <c r="B205" s="50"/>
      <c r="C205" s="50"/>
      <c r="D205" s="78" t="s">
        <v>16</v>
      </c>
      <c r="E205" s="49"/>
      <c r="F205" s="49"/>
      <c r="G205" s="48">
        <f t="shared" ref="G205:L205" si="27">SUM(G141:G204)</f>
        <v>121570830.28</v>
      </c>
      <c r="H205" s="48">
        <f t="shared" si="27"/>
        <v>128238300</v>
      </c>
      <c r="I205" s="48">
        <f t="shared" si="27"/>
        <v>121706600</v>
      </c>
      <c r="J205" s="48">
        <f t="shared" si="27"/>
        <v>125942800</v>
      </c>
      <c r="K205" s="48">
        <f t="shared" si="27"/>
        <v>125997800</v>
      </c>
      <c r="L205" s="48">
        <f t="shared" si="27"/>
        <v>126437700</v>
      </c>
    </row>
    <row r="206" spans="1:12" x14ac:dyDescent="0.2">
      <c r="A206" s="73"/>
      <c r="B206" s="78"/>
      <c r="C206" s="78"/>
      <c r="D206" s="49"/>
      <c r="E206" s="47"/>
      <c r="F206" s="49"/>
      <c r="G206" s="79"/>
      <c r="H206" s="79"/>
      <c r="I206" s="79"/>
      <c r="J206" s="79"/>
      <c r="K206" s="79"/>
      <c r="L206" s="79"/>
    </row>
    <row r="207" spans="1:12" ht="15" customHeight="1" x14ac:dyDescent="0.2">
      <c r="A207" s="36"/>
      <c r="B207" s="50"/>
      <c r="C207" s="50"/>
      <c r="D207" s="67" t="s">
        <v>187</v>
      </c>
      <c r="E207" s="67"/>
      <c r="F207" s="67"/>
      <c r="G207" s="67"/>
      <c r="H207" s="67"/>
      <c r="I207" s="67"/>
      <c r="J207" s="67"/>
      <c r="K207" s="67"/>
      <c r="L207" s="67"/>
    </row>
    <row r="208" spans="1:12" ht="34.5" thickBot="1" x14ac:dyDescent="0.25">
      <c r="A208" s="36"/>
      <c r="B208" s="69"/>
      <c r="C208" s="69"/>
      <c r="D208" s="69" t="s">
        <v>188</v>
      </c>
      <c r="E208" s="43"/>
      <c r="F208" s="68"/>
      <c r="G208" s="15" t="str">
        <f t="shared" ref="G208:L208" si="28">G25</f>
        <v>Actuals           2014-2015</v>
      </c>
      <c r="H208" s="15" t="str">
        <f t="shared" si="28"/>
        <v>Approved Estimates          2015-2016</v>
      </c>
      <c r="I208" s="15" t="str">
        <f t="shared" si="28"/>
        <v>Revised Estimates                 2015-2016</v>
      </c>
      <c r="J208" s="15" t="str">
        <f t="shared" si="28"/>
        <v>Budget Estimates      2016-2017</v>
      </c>
      <c r="K208" s="15" t="str">
        <f t="shared" si="28"/>
        <v>Forward Estimates     2017-2018</v>
      </c>
      <c r="L208" s="15" t="str">
        <f t="shared" si="28"/>
        <v>Forward Estimates     2018-2019</v>
      </c>
    </row>
    <row r="209" spans="1:12" x14ac:dyDescent="0.2">
      <c r="A209" s="36"/>
      <c r="B209" s="80" t="s">
        <v>87</v>
      </c>
      <c r="D209" s="80">
        <f>'05'!A126</f>
        <v>122</v>
      </c>
      <c r="E209" s="81" t="str">
        <f>'05'!B126</f>
        <v xml:space="preserve">Driver's Licenses                 </v>
      </c>
      <c r="G209" s="61">
        <f>'05'!E126</f>
        <v>4735</v>
      </c>
      <c r="H209" s="61">
        <f>'05'!F126</f>
        <v>64600</v>
      </c>
      <c r="I209" s="61">
        <f>'05'!G126</f>
        <v>68700</v>
      </c>
      <c r="J209" s="61">
        <f>'05'!H126</f>
        <v>64600</v>
      </c>
      <c r="K209" s="61">
        <f>'05'!I126</f>
        <v>64600</v>
      </c>
      <c r="L209" s="61">
        <f>'05'!J126</f>
        <v>64600</v>
      </c>
    </row>
    <row r="210" spans="1:12" x14ac:dyDescent="0.2">
      <c r="A210" s="36"/>
      <c r="B210" s="80" t="s">
        <v>87</v>
      </c>
      <c r="D210" s="80">
        <f>'05'!A127</f>
        <v>122</v>
      </c>
      <c r="E210" s="81" t="str">
        <f>'05'!B127</f>
        <v xml:space="preserve">Firearms Licenses              </v>
      </c>
      <c r="G210" s="61">
        <f>'05'!E127</f>
        <v>0</v>
      </c>
      <c r="H210" s="61">
        <f>'05'!F127</f>
        <v>3000</v>
      </c>
      <c r="I210" s="61">
        <f>'05'!G127</f>
        <v>2200</v>
      </c>
      <c r="J210" s="61">
        <f>'05'!H127</f>
        <v>3000</v>
      </c>
      <c r="K210" s="61">
        <f>'05'!I127</f>
        <v>3000</v>
      </c>
      <c r="L210" s="61">
        <f>'05'!J127</f>
        <v>3000</v>
      </c>
    </row>
    <row r="211" spans="1:12" x14ac:dyDescent="0.2">
      <c r="A211" s="73"/>
      <c r="B211" s="80" t="s">
        <v>87</v>
      </c>
      <c r="D211" s="80">
        <f>'05'!A128</f>
        <v>122</v>
      </c>
      <c r="E211" s="81" t="str">
        <f>'05'!B128</f>
        <v xml:space="preserve">Liquor &amp; Still Licenses       </v>
      </c>
      <c r="G211" s="61">
        <f>'05'!E128</f>
        <v>134400</v>
      </c>
      <c r="H211" s="61">
        <f>'05'!F128</f>
        <v>110000</v>
      </c>
      <c r="I211" s="61">
        <f>'05'!G128</f>
        <v>57900</v>
      </c>
      <c r="J211" s="61">
        <f>'05'!H128</f>
        <v>110000</v>
      </c>
      <c r="K211" s="61">
        <f>'05'!I128</f>
        <v>110000</v>
      </c>
      <c r="L211" s="61">
        <f>'05'!J128</f>
        <v>110000</v>
      </c>
    </row>
    <row r="212" spans="1:12" x14ac:dyDescent="0.2">
      <c r="A212" s="73"/>
      <c r="B212" s="80" t="s">
        <v>87</v>
      </c>
      <c r="C212" s="6"/>
      <c r="D212" s="80">
        <f>'05'!A129</f>
        <v>130</v>
      </c>
      <c r="E212" s="81" t="str">
        <f>'05'!B129</f>
        <v>Immigration Fees</v>
      </c>
      <c r="G212" s="61">
        <f>'05'!E129</f>
        <v>134940</v>
      </c>
      <c r="H212" s="61">
        <f>'05'!F129</f>
        <v>100000</v>
      </c>
      <c r="I212" s="61">
        <f>'05'!G129</f>
        <v>14300</v>
      </c>
      <c r="J212" s="61">
        <f>'05'!H129</f>
        <v>100000</v>
      </c>
      <c r="K212" s="61">
        <f>'05'!I129</f>
        <v>100000</v>
      </c>
      <c r="L212" s="61">
        <f>'05'!J129</f>
        <v>100000</v>
      </c>
    </row>
    <row r="213" spans="1:12" x14ac:dyDescent="0.2">
      <c r="A213" s="73"/>
      <c r="B213" s="80" t="s">
        <v>87</v>
      </c>
      <c r="C213" s="6"/>
      <c r="D213" s="80">
        <f>'05'!A130</f>
        <v>130</v>
      </c>
      <c r="E213" s="81" t="str">
        <f>'05'!B130</f>
        <v>Emergency Certificate</v>
      </c>
      <c r="G213" s="61">
        <f>'05'!E130</f>
        <v>0</v>
      </c>
      <c r="H213" s="61">
        <f>'05'!F130</f>
        <v>0</v>
      </c>
      <c r="I213" s="61">
        <f>'05'!G130</f>
        <v>0</v>
      </c>
      <c r="J213" s="61">
        <f>'05'!H130</f>
        <v>0</v>
      </c>
      <c r="K213" s="61">
        <f>'05'!I130</f>
        <v>0</v>
      </c>
      <c r="L213" s="61">
        <f>'05'!J130</f>
        <v>0</v>
      </c>
    </row>
    <row r="214" spans="1:12" x14ac:dyDescent="0.2">
      <c r="A214" s="73"/>
      <c r="B214" s="80" t="s">
        <v>87</v>
      </c>
      <c r="C214" s="6"/>
      <c r="D214" s="80">
        <f>'05'!A131</f>
        <v>130</v>
      </c>
      <c r="E214" s="81" t="str">
        <f>'05'!B131</f>
        <v>Fingerprint Processing Fee</v>
      </c>
      <c r="G214" s="61">
        <f>'05'!E131</f>
        <v>0</v>
      </c>
      <c r="H214" s="61">
        <f>'05'!F131</f>
        <v>5000</v>
      </c>
      <c r="I214" s="61">
        <f>'05'!G131</f>
        <v>5000</v>
      </c>
      <c r="J214" s="61">
        <f>'05'!H131</f>
        <v>5000</v>
      </c>
      <c r="K214" s="61">
        <f>'05'!I131</f>
        <v>5000</v>
      </c>
      <c r="L214" s="61">
        <f>'05'!J131</f>
        <v>5000</v>
      </c>
    </row>
    <row r="215" spans="1:12" x14ac:dyDescent="0.2">
      <c r="A215" s="73"/>
      <c r="B215" s="80" t="s">
        <v>93</v>
      </c>
      <c r="C215" s="6"/>
      <c r="D215" s="80">
        <f>'08'!A52</f>
        <v>130</v>
      </c>
      <c r="E215" s="81" t="str">
        <f>'08'!B52</f>
        <v xml:space="preserve">Magistrate's Court                </v>
      </c>
      <c r="G215" s="61">
        <f>'08'!E52</f>
        <v>46037</v>
      </c>
      <c r="H215" s="61">
        <f>'08'!F52</f>
        <v>40000</v>
      </c>
      <c r="I215" s="61">
        <f>'08'!G52</f>
        <v>46000</v>
      </c>
      <c r="J215" s="61">
        <f>'08'!H52</f>
        <v>40000</v>
      </c>
      <c r="K215" s="61">
        <f>'08'!I52</f>
        <v>40000</v>
      </c>
      <c r="L215" s="61">
        <f>'08'!J52</f>
        <v>40000</v>
      </c>
    </row>
    <row r="216" spans="1:12" x14ac:dyDescent="0.2">
      <c r="A216" s="73"/>
      <c r="B216" s="80" t="s">
        <v>95</v>
      </c>
      <c r="C216" s="6"/>
      <c r="D216" s="80">
        <f>'09'!A55</f>
        <v>130</v>
      </c>
      <c r="E216" s="81" t="str">
        <f>'09'!B55</f>
        <v xml:space="preserve">Certificate - Birth etc. </v>
      </c>
      <c r="G216" s="61">
        <f>'09'!E55</f>
        <v>1736.5800000000002</v>
      </c>
      <c r="H216" s="61">
        <f>'09'!F55</f>
        <v>1500</v>
      </c>
      <c r="I216" s="61">
        <f>'09'!G55</f>
        <v>1500</v>
      </c>
      <c r="J216" s="61">
        <f>'09'!H55</f>
        <v>1500</v>
      </c>
      <c r="K216" s="61">
        <f>'09'!I55</f>
        <v>1500</v>
      </c>
      <c r="L216" s="61">
        <f>'09'!J55</f>
        <v>1500</v>
      </c>
    </row>
    <row r="217" spans="1:12" x14ac:dyDescent="0.2">
      <c r="A217" s="73"/>
      <c r="B217" s="80" t="s">
        <v>95</v>
      </c>
      <c r="C217" s="6"/>
      <c r="D217" s="80">
        <f>'09'!A56</f>
        <v>130</v>
      </c>
      <c r="E217" s="81" t="str">
        <f>'09'!B56</f>
        <v>Company Registration</v>
      </c>
      <c r="G217" s="61">
        <f>'09'!E56</f>
        <v>165922.04</v>
      </c>
      <c r="H217" s="61">
        <f>'09'!F56</f>
        <v>0</v>
      </c>
      <c r="I217" s="61">
        <f>'09'!G56</f>
        <v>0</v>
      </c>
      <c r="J217" s="61">
        <f>'09'!H56</f>
        <v>0</v>
      </c>
      <c r="K217" s="61">
        <f>'09'!I56</f>
        <v>0</v>
      </c>
      <c r="L217" s="61">
        <f>'09'!J56</f>
        <v>0</v>
      </c>
    </row>
    <row r="218" spans="1:12" x14ac:dyDescent="0.2">
      <c r="A218" s="73"/>
      <c r="B218" s="80" t="s">
        <v>95</v>
      </c>
      <c r="C218" s="6"/>
      <c r="D218" s="80">
        <f>'09'!A57</f>
        <v>130</v>
      </c>
      <c r="E218" s="81" t="str">
        <f>'09'!B57</f>
        <v xml:space="preserve">High Court                                </v>
      </c>
      <c r="G218" s="61">
        <f>'09'!E57</f>
        <v>6900</v>
      </c>
      <c r="H218" s="61">
        <f>'09'!F57</f>
        <v>10000</v>
      </c>
      <c r="I218" s="61">
        <f>'09'!G57</f>
        <v>39300</v>
      </c>
      <c r="J218" s="61">
        <f>'09'!H57</f>
        <v>10000</v>
      </c>
      <c r="K218" s="61">
        <f>'09'!I57</f>
        <v>10000</v>
      </c>
      <c r="L218" s="61">
        <f>'09'!J57</f>
        <v>10000</v>
      </c>
    </row>
    <row r="219" spans="1:12" x14ac:dyDescent="0.2">
      <c r="A219" s="73"/>
      <c r="B219" s="80" t="s">
        <v>95</v>
      </c>
      <c r="C219" s="6"/>
      <c r="D219" s="80">
        <f>'09'!A58</f>
        <v>130</v>
      </c>
      <c r="E219" s="81" t="str">
        <f>'09'!B58</f>
        <v xml:space="preserve">Trade Marks and Patents  </v>
      </c>
      <c r="G219" s="61">
        <f>'09'!E58</f>
        <v>128236</v>
      </c>
      <c r="H219" s="61">
        <f>'09'!F58</f>
        <v>0</v>
      </c>
      <c r="I219" s="61">
        <f>'09'!G58</f>
        <v>0</v>
      </c>
      <c r="J219" s="61">
        <f>'09'!H58</f>
        <v>0</v>
      </c>
      <c r="K219" s="61">
        <f>'09'!I58</f>
        <v>0</v>
      </c>
      <c r="L219" s="61">
        <f>'09'!J58</f>
        <v>0</v>
      </c>
    </row>
    <row r="220" spans="1:12" x14ac:dyDescent="0.2">
      <c r="A220" s="73"/>
      <c r="B220" s="80" t="s">
        <v>95</v>
      </c>
      <c r="C220" s="6"/>
      <c r="D220" s="80">
        <f>'09'!A59</f>
        <v>160</v>
      </c>
      <c r="E220" s="81" t="str">
        <f>'09'!B59</f>
        <v>Other Receipts</v>
      </c>
      <c r="G220" s="61">
        <f>'09'!E59</f>
        <v>6932</v>
      </c>
      <c r="H220" s="61">
        <f>'09'!F59</f>
        <v>4000</v>
      </c>
      <c r="I220" s="61">
        <f>'09'!G59</f>
        <v>4000</v>
      </c>
      <c r="J220" s="61">
        <f>'09'!H59</f>
        <v>4000</v>
      </c>
      <c r="K220" s="61">
        <f>'09'!I59</f>
        <v>4000</v>
      </c>
      <c r="L220" s="61">
        <f>'09'!J59</f>
        <v>4000</v>
      </c>
    </row>
    <row r="221" spans="1:12" x14ac:dyDescent="0.2">
      <c r="A221" s="73"/>
      <c r="B221" s="80" t="s">
        <v>97</v>
      </c>
      <c r="D221" s="80">
        <f>'10'!A58</f>
        <v>160</v>
      </c>
      <c r="E221" s="81" t="str">
        <f>'10'!B58</f>
        <v>Sale of Laws etc.</v>
      </c>
      <c r="G221" s="61">
        <f>'10'!E58</f>
        <v>2872.45</v>
      </c>
      <c r="H221" s="61">
        <f>'10'!F58</f>
        <v>800</v>
      </c>
      <c r="I221" s="61">
        <f>'10'!G58</f>
        <v>800</v>
      </c>
      <c r="J221" s="61">
        <f>'10'!H58</f>
        <v>800</v>
      </c>
      <c r="K221" s="61">
        <f>'10'!I58</f>
        <v>800</v>
      </c>
      <c r="L221" s="61">
        <f>'10'!J58</f>
        <v>800</v>
      </c>
    </row>
    <row r="222" spans="1:12" x14ac:dyDescent="0.2">
      <c r="A222" s="73"/>
      <c r="B222" s="80" t="s">
        <v>101</v>
      </c>
      <c r="D222" s="80">
        <f>'10'!A185</f>
        <v>130</v>
      </c>
      <c r="E222" s="81" t="str">
        <f>'10'!B185</f>
        <v>Audit Fees</v>
      </c>
      <c r="G222" s="61">
        <f>'10'!E185</f>
        <v>1000</v>
      </c>
      <c r="H222" s="61">
        <f>'10'!F185</f>
        <v>25000</v>
      </c>
      <c r="I222" s="61">
        <f>'10'!G185</f>
        <v>25000</v>
      </c>
      <c r="J222" s="61">
        <f>'10'!H185</f>
        <v>0</v>
      </c>
      <c r="K222" s="61">
        <f>'10'!I185</f>
        <v>0</v>
      </c>
      <c r="L222" s="61">
        <f>'10'!J185</f>
        <v>0</v>
      </c>
    </row>
    <row r="223" spans="1:12" x14ac:dyDescent="0.2">
      <c r="A223" s="73"/>
      <c r="B223" s="80" t="s">
        <v>189</v>
      </c>
      <c r="D223" s="80">
        <f>'11'!A52</f>
        <v>130</v>
      </c>
      <c r="E223" s="81" t="str">
        <f>'11'!B52</f>
        <v>Audit Fees</v>
      </c>
      <c r="G223" s="61">
        <f>'11'!E52</f>
        <v>0</v>
      </c>
      <c r="H223" s="61">
        <f>'11'!F52</f>
        <v>0</v>
      </c>
      <c r="I223" s="61">
        <f>'11'!G52</f>
        <v>0</v>
      </c>
      <c r="J223" s="61">
        <f>'11'!H52</f>
        <v>25000</v>
      </c>
      <c r="K223" s="61">
        <f>'11'!I52</f>
        <v>25000</v>
      </c>
      <c r="L223" s="61">
        <f>'11'!J52</f>
        <v>25000</v>
      </c>
    </row>
    <row r="224" spans="1:12" x14ac:dyDescent="0.2">
      <c r="A224" s="73"/>
      <c r="B224" s="80" t="s">
        <v>104</v>
      </c>
      <c r="D224" s="80">
        <f>'12'!A79</f>
        <v>130</v>
      </c>
      <c r="E224" s="81" t="str">
        <f>'12'!B79</f>
        <v>Naturalzation Fees</v>
      </c>
      <c r="G224" s="61">
        <f>'12'!E79</f>
        <v>360380</v>
      </c>
      <c r="H224" s="61">
        <f>'12'!F79</f>
        <v>218200</v>
      </c>
      <c r="I224" s="61">
        <f>'12'!G79</f>
        <v>228300</v>
      </c>
      <c r="J224" s="61">
        <f>'12'!H79</f>
        <v>270000</v>
      </c>
      <c r="K224" s="61">
        <f>'12'!I79</f>
        <v>270000</v>
      </c>
      <c r="L224" s="61">
        <f>'12'!J79</f>
        <v>270000</v>
      </c>
    </row>
    <row r="225" spans="1:12" x14ac:dyDescent="0.2">
      <c r="A225" s="73"/>
      <c r="B225" s="80" t="s">
        <v>110</v>
      </c>
      <c r="D225" s="80">
        <f>'12'!A299</f>
        <v>130</v>
      </c>
      <c r="E225" s="81" t="str">
        <f>'12'!B299</f>
        <v>Charges and Fines</v>
      </c>
      <c r="G225" s="61">
        <f>'12'!E299</f>
        <v>0</v>
      </c>
      <c r="H225" s="61">
        <f>'12'!F299</f>
        <v>100</v>
      </c>
      <c r="I225" s="61">
        <f>'12'!G299</f>
        <v>100</v>
      </c>
      <c r="J225" s="61">
        <f>'12'!H299</f>
        <v>100</v>
      </c>
      <c r="K225" s="61">
        <f>'12'!I299</f>
        <v>100</v>
      </c>
      <c r="L225" s="61">
        <f>'12'!J299</f>
        <v>100</v>
      </c>
    </row>
    <row r="226" spans="1:12" x14ac:dyDescent="0.2">
      <c r="A226" s="73"/>
      <c r="B226" s="80" t="s">
        <v>110</v>
      </c>
      <c r="D226" s="80">
        <f>'12'!A300</f>
        <v>160</v>
      </c>
      <c r="E226" s="81" t="str">
        <f>'12'!B300</f>
        <v>General Reciepts</v>
      </c>
      <c r="G226" s="61">
        <f>'12'!E300</f>
        <v>840</v>
      </c>
      <c r="H226" s="61">
        <f>'12'!F300</f>
        <v>1000</v>
      </c>
      <c r="I226" s="61">
        <f>'12'!G300</f>
        <v>1000</v>
      </c>
      <c r="J226" s="61">
        <f>'12'!H300</f>
        <v>1000</v>
      </c>
      <c r="K226" s="61">
        <f>'12'!I300</f>
        <v>1000</v>
      </c>
      <c r="L226" s="61">
        <f>'12'!J300</f>
        <v>1000</v>
      </c>
    </row>
    <row r="227" spans="1:12" x14ac:dyDescent="0.2">
      <c r="A227" s="73"/>
      <c r="B227" s="80">
        <v>124</v>
      </c>
      <c r="D227" s="80" t="str">
        <f>'12'!A365</f>
        <v>135</v>
      </c>
      <c r="E227" s="81" t="str">
        <f>'12'!B365</f>
        <v>Rents, Interest, Dividends</v>
      </c>
      <c r="F227" s="80"/>
      <c r="G227" s="61">
        <f>'12'!E365</f>
        <v>1375</v>
      </c>
      <c r="H227" s="61">
        <f>'12'!F365</f>
        <v>0</v>
      </c>
      <c r="I227" s="61">
        <f>'12'!G365</f>
        <v>0</v>
      </c>
      <c r="J227" s="61">
        <f>'12'!H365</f>
        <v>0</v>
      </c>
      <c r="K227" s="61">
        <f>'12'!I365</f>
        <v>0</v>
      </c>
      <c r="L227" s="61">
        <f>'12'!J365</f>
        <v>0</v>
      </c>
    </row>
    <row r="228" spans="1:12" x14ac:dyDescent="0.2">
      <c r="A228" s="73"/>
      <c r="B228" s="80">
        <v>150</v>
      </c>
      <c r="D228" s="80">
        <f>'15'!A71</f>
        <v>122</v>
      </c>
      <c r="E228" s="81" t="str">
        <f>'15'!B71</f>
        <v xml:space="preserve">Trade Licenses                   </v>
      </c>
      <c r="F228" s="80"/>
      <c r="G228" s="61">
        <f>'15'!E71</f>
        <v>10173.75</v>
      </c>
      <c r="H228" s="61">
        <f>'15'!F71</f>
        <v>0</v>
      </c>
      <c r="I228" s="61">
        <f>'15'!G71</f>
        <v>0</v>
      </c>
      <c r="J228" s="61">
        <f>'15'!H71</f>
        <v>0</v>
      </c>
      <c r="K228" s="61">
        <f>'15'!I71</f>
        <v>0</v>
      </c>
      <c r="L228" s="61">
        <f>'15'!J71</f>
        <v>0</v>
      </c>
    </row>
    <row r="229" spans="1:12" x14ac:dyDescent="0.2">
      <c r="A229" s="73"/>
      <c r="B229" s="80" t="s">
        <v>190</v>
      </c>
      <c r="D229" s="80">
        <f>'15'!A149</f>
        <v>130</v>
      </c>
      <c r="E229" s="81" t="str">
        <f>'15'!B149</f>
        <v>Broadcasting Fees</v>
      </c>
      <c r="G229" s="61">
        <f>'15'!E149</f>
        <v>0</v>
      </c>
      <c r="H229" s="61">
        <f>'15'!F149</f>
        <v>150000</v>
      </c>
      <c r="I229" s="61">
        <f>'15'!G149</f>
        <v>192200</v>
      </c>
      <c r="J229" s="61">
        <f>'15'!H149</f>
        <v>150000</v>
      </c>
      <c r="K229" s="61">
        <f>'15'!I149</f>
        <v>150000</v>
      </c>
      <c r="L229" s="61">
        <f>'15'!J149</f>
        <v>150000</v>
      </c>
    </row>
    <row r="230" spans="1:12" x14ac:dyDescent="0.2">
      <c r="A230" s="73"/>
      <c r="B230" s="80" t="s">
        <v>190</v>
      </c>
      <c r="D230" s="80">
        <f>'15'!A150</f>
        <v>160</v>
      </c>
      <c r="E230" s="81" t="str">
        <f>'15'!B150</f>
        <v>Other Receipts</v>
      </c>
      <c r="G230" s="61">
        <f>'15'!E150</f>
        <v>0</v>
      </c>
      <c r="H230" s="61">
        <f>'15'!F150</f>
        <v>0</v>
      </c>
      <c r="I230" s="61">
        <f>'15'!G150</f>
        <v>0</v>
      </c>
      <c r="J230" s="61">
        <f>'15'!H150</f>
        <v>0</v>
      </c>
      <c r="K230" s="61">
        <f>'15'!I150</f>
        <v>0</v>
      </c>
      <c r="L230" s="61">
        <f>'15'!J150</f>
        <v>0</v>
      </c>
    </row>
    <row r="231" spans="1:12" x14ac:dyDescent="0.2">
      <c r="A231" s="73"/>
      <c r="B231" s="80">
        <v>173</v>
      </c>
      <c r="D231" s="80">
        <f>'17'!A249</f>
        <v>130</v>
      </c>
      <c r="E231" s="81" t="str">
        <f>'17'!B249</f>
        <v>Broadcasting Fees</v>
      </c>
      <c r="F231" s="80"/>
      <c r="G231" s="61">
        <f>'17'!E249</f>
        <v>203712.86000000004</v>
      </c>
      <c r="H231" s="61">
        <f>'17'!F249</f>
        <v>0</v>
      </c>
      <c r="I231" s="61">
        <f>'17'!G249</f>
        <v>0</v>
      </c>
      <c r="J231" s="61">
        <f>'17'!H249</f>
        <v>0</v>
      </c>
      <c r="K231" s="61">
        <f>'17'!I249</f>
        <v>0</v>
      </c>
      <c r="L231" s="61">
        <f>'17'!J249</f>
        <v>0</v>
      </c>
    </row>
    <row r="232" spans="1:12" ht="10.9" customHeight="1" x14ac:dyDescent="0.2">
      <c r="A232" s="73"/>
      <c r="B232" s="80" t="s">
        <v>128</v>
      </c>
      <c r="D232" s="80">
        <f>'20'!A90</f>
        <v>160</v>
      </c>
      <c r="E232" s="81" t="str">
        <f>'20'!B90</f>
        <v>Sale of Condemned Stores</v>
      </c>
      <c r="G232" s="61">
        <f>'20'!E90</f>
        <v>23300</v>
      </c>
      <c r="H232" s="61">
        <f>'20'!F90</f>
        <v>0</v>
      </c>
      <c r="I232" s="61">
        <f>'20'!G90</f>
        <v>45600</v>
      </c>
      <c r="J232" s="61">
        <f>'20'!H90</f>
        <v>0</v>
      </c>
      <c r="K232" s="61">
        <f>'20'!I90</f>
        <v>0</v>
      </c>
      <c r="L232" s="61">
        <f>'20'!J90</f>
        <v>0</v>
      </c>
    </row>
    <row r="233" spans="1:12" ht="10.9" customHeight="1" x14ac:dyDescent="0.2">
      <c r="A233" s="73"/>
      <c r="B233" s="80" t="s">
        <v>130</v>
      </c>
      <c r="D233" s="80">
        <f>'20'!A161</f>
        <v>120</v>
      </c>
      <c r="E233" s="81" t="str">
        <f>'20'!B161</f>
        <v>Bank Interest Levy</v>
      </c>
      <c r="G233" s="61">
        <f>'20'!E161</f>
        <v>470002.11</v>
      </c>
      <c r="H233" s="61">
        <f>'20'!F161</f>
        <v>940000</v>
      </c>
      <c r="I233" s="61">
        <f>'20'!G161</f>
        <v>940000</v>
      </c>
      <c r="J233" s="61">
        <f>'20'!H161</f>
        <v>960000</v>
      </c>
      <c r="K233" s="61">
        <f>'20'!I161</f>
        <v>980000</v>
      </c>
      <c r="L233" s="61">
        <f>'20'!J161</f>
        <v>980000</v>
      </c>
    </row>
    <row r="234" spans="1:12" ht="10.9" customHeight="1" x14ac:dyDescent="0.2">
      <c r="A234" s="73"/>
      <c r="B234" s="80" t="s">
        <v>130</v>
      </c>
      <c r="D234" s="80">
        <f>'20'!A162</f>
        <v>122</v>
      </c>
      <c r="E234" s="81" t="str">
        <f>'20'!B162</f>
        <v>Other Licenses</v>
      </c>
      <c r="G234" s="61">
        <f>'20'!E162</f>
        <v>0</v>
      </c>
      <c r="H234" s="61">
        <f>'20'!F162</f>
        <v>100</v>
      </c>
      <c r="I234" s="61">
        <f>'20'!G162</f>
        <v>100</v>
      </c>
      <c r="J234" s="61">
        <f>'20'!H162</f>
        <v>100</v>
      </c>
      <c r="K234" s="61">
        <f>'20'!I162</f>
        <v>100</v>
      </c>
      <c r="L234" s="61">
        <f>'20'!J162</f>
        <v>100</v>
      </c>
    </row>
    <row r="235" spans="1:12" ht="10.9" customHeight="1" x14ac:dyDescent="0.2">
      <c r="A235" s="73"/>
      <c r="B235" s="80" t="s">
        <v>130</v>
      </c>
      <c r="D235" s="80" t="str">
        <f>'20'!A163</f>
        <v>130</v>
      </c>
      <c r="E235" s="81" t="str">
        <f>'20'!B163</f>
        <v>Fines on Gov't Officers</v>
      </c>
      <c r="G235" s="61">
        <f>'20'!E163</f>
        <v>0</v>
      </c>
      <c r="H235" s="61">
        <f>'20'!F163</f>
        <v>2300</v>
      </c>
      <c r="I235" s="61">
        <f>'20'!G163</f>
        <v>2300</v>
      </c>
      <c r="J235" s="61">
        <f>'20'!H163</f>
        <v>2300</v>
      </c>
      <c r="K235" s="61">
        <f>'20'!I163</f>
        <v>2300</v>
      </c>
      <c r="L235" s="61">
        <f>'20'!J163</f>
        <v>2300</v>
      </c>
    </row>
    <row r="236" spans="1:12" x14ac:dyDescent="0.2">
      <c r="A236" s="73"/>
      <c r="B236" s="80" t="s">
        <v>130</v>
      </c>
      <c r="D236" s="80">
        <f>'20'!A164</f>
        <v>130</v>
      </c>
      <c r="E236" s="81" t="str">
        <f>'20'!B164</f>
        <v xml:space="preserve">Weights and Measures </v>
      </c>
      <c r="G236" s="61">
        <f>'20'!E164</f>
        <v>0</v>
      </c>
      <c r="H236" s="61">
        <f>'20'!F164</f>
        <v>600</v>
      </c>
      <c r="I236" s="61">
        <f>'20'!G164</f>
        <v>600</v>
      </c>
      <c r="J236" s="61">
        <f>'20'!H164</f>
        <v>600</v>
      </c>
      <c r="K236" s="61">
        <f>'20'!I164</f>
        <v>600</v>
      </c>
      <c r="L236" s="61">
        <f>'20'!J164</f>
        <v>600</v>
      </c>
    </row>
    <row r="237" spans="1:12" x14ac:dyDescent="0.2">
      <c r="A237" s="73"/>
      <c r="B237" s="80" t="s">
        <v>130</v>
      </c>
      <c r="D237" s="80">
        <f>'20'!A165</f>
        <v>130</v>
      </c>
      <c r="E237" s="81" t="str">
        <f>'20'!B165</f>
        <v>Company Registration</v>
      </c>
      <c r="G237" s="61">
        <f>'20'!E165</f>
        <v>0</v>
      </c>
      <c r="H237" s="61">
        <f>'20'!F165</f>
        <v>150000</v>
      </c>
      <c r="I237" s="61">
        <f>'20'!G165</f>
        <v>150000</v>
      </c>
      <c r="J237" s="61">
        <f>'20'!H165</f>
        <v>150000</v>
      </c>
      <c r="K237" s="61">
        <f>'20'!I165</f>
        <v>150000</v>
      </c>
      <c r="L237" s="61">
        <f>'20'!J165</f>
        <v>150000</v>
      </c>
    </row>
    <row r="238" spans="1:12" x14ac:dyDescent="0.2">
      <c r="A238" s="73"/>
      <c r="B238" s="80" t="s">
        <v>130</v>
      </c>
      <c r="D238" s="80">
        <f>'20'!A166</f>
        <v>130</v>
      </c>
      <c r="E238" s="81" t="str">
        <f>'20'!B166</f>
        <v xml:space="preserve">Trade Marks and Patents  </v>
      </c>
      <c r="G238" s="61">
        <f>'20'!E166</f>
        <v>0</v>
      </c>
      <c r="H238" s="61">
        <f>'20'!F166</f>
        <v>90000</v>
      </c>
      <c r="I238" s="61">
        <f>'20'!G166</f>
        <v>90000</v>
      </c>
      <c r="J238" s="61">
        <f>'20'!H166</f>
        <v>90000</v>
      </c>
      <c r="K238" s="61">
        <f>'20'!I166</f>
        <v>90000</v>
      </c>
      <c r="L238" s="61">
        <f>'20'!J166</f>
        <v>90000</v>
      </c>
    </row>
    <row r="239" spans="1:12" x14ac:dyDescent="0.2">
      <c r="A239" s="73"/>
      <c r="B239" s="80" t="s">
        <v>130</v>
      </c>
      <c r="D239" s="80" t="str">
        <f>'20'!A167</f>
        <v>135</v>
      </c>
      <c r="E239" s="81" t="str">
        <f>'20'!B167</f>
        <v>Bank of Mont. Interest (CDB)</v>
      </c>
      <c r="G239" s="61">
        <f>'20'!E167</f>
        <v>52500.2</v>
      </c>
      <c r="H239" s="61">
        <f>'20'!F167</f>
        <v>44000</v>
      </c>
      <c r="I239" s="61">
        <f>'20'!G167</f>
        <v>44000</v>
      </c>
      <c r="J239" s="61">
        <f>'20'!H167</f>
        <v>44000</v>
      </c>
      <c r="K239" s="61">
        <f>'20'!I167</f>
        <v>44000</v>
      </c>
      <c r="L239" s="61">
        <f>'20'!J167</f>
        <v>44000</v>
      </c>
    </row>
    <row r="240" spans="1:12" x14ac:dyDescent="0.2">
      <c r="A240" s="73"/>
      <c r="B240" s="80" t="s">
        <v>130</v>
      </c>
      <c r="D240" s="80" t="str">
        <f>'20'!A168</f>
        <v>135</v>
      </c>
      <c r="E240" s="81" t="str">
        <f>'20'!B168</f>
        <v>Port Auth. CDB INT#1 SFR-ORM</v>
      </c>
      <c r="G240" s="61">
        <f>'20'!E168</f>
        <v>82884.37</v>
      </c>
      <c r="H240" s="61">
        <f>'20'!F168</f>
        <v>160000</v>
      </c>
      <c r="I240" s="61">
        <f>'20'!G168</f>
        <v>160000</v>
      </c>
      <c r="J240" s="61">
        <f>'20'!H168</f>
        <v>160000</v>
      </c>
      <c r="K240" s="61">
        <f>'20'!I168</f>
        <v>160000</v>
      </c>
      <c r="L240" s="61">
        <f>'20'!J168</f>
        <v>160000</v>
      </c>
    </row>
    <row r="241" spans="1:12" x14ac:dyDescent="0.2">
      <c r="A241" s="73"/>
      <c r="B241" s="80" t="s">
        <v>130</v>
      </c>
      <c r="D241" s="80" t="str">
        <f>'20'!A169</f>
        <v>135</v>
      </c>
      <c r="E241" s="81" t="str">
        <f>'20'!B169</f>
        <v>Other Interest</v>
      </c>
      <c r="G241" s="61">
        <f>'20'!E169</f>
        <v>1009.96</v>
      </c>
      <c r="H241" s="61">
        <f>'20'!F169</f>
        <v>55000</v>
      </c>
      <c r="I241" s="61">
        <f>'20'!G169</f>
        <v>55000</v>
      </c>
      <c r="J241" s="61">
        <f>'20'!H169</f>
        <v>55000</v>
      </c>
      <c r="K241" s="61">
        <f>'20'!I169</f>
        <v>55000</v>
      </c>
      <c r="L241" s="61">
        <f>'20'!J169</f>
        <v>55000</v>
      </c>
    </row>
    <row r="242" spans="1:12" x14ac:dyDescent="0.2">
      <c r="A242" s="73"/>
      <c r="B242" s="80" t="s">
        <v>130</v>
      </c>
      <c r="D242" s="80" t="str">
        <f>'20'!A170</f>
        <v>135</v>
      </c>
      <c r="E242" s="81" t="str">
        <f>'20'!B170</f>
        <v>Misc Rents, Interests, Dividends</v>
      </c>
      <c r="G242" s="61">
        <f>'20'!E170</f>
        <v>906287.07000000007</v>
      </c>
      <c r="H242" s="61">
        <f>'20'!F170</f>
        <v>120000</v>
      </c>
      <c r="I242" s="61">
        <f>'20'!G170</f>
        <v>214900</v>
      </c>
      <c r="J242" s="61">
        <f>'20'!H170</f>
        <v>120000</v>
      </c>
      <c r="K242" s="61">
        <f>'20'!I170</f>
        <v>120000</v>
      </c>
      <c r="L242" s="61">
        <f>'20'!J170</f>
        <v>120000</v>
      </c>
    </row>
    <row r="243" spans="1:12" x14ac:dyDescent="0.2">
      <c r="A243" s="73"/>
      <c r="B243" s="80" t="s">
        <v>130</v>
      </c>
      <c r="D243" s="80" t="str">
        <f>'20'!A171</f>
        <v>145</v>
      </c>
      <c r="E243" s="81" t="str">
        <f>'20'!B171</f>
        <v>Reimbursement-2nded Ofcrs.</v>
      </c>
      <c r="G243" s="61">
        <f>'20'!E171</f>
        <v>0</v>
      </c>
      <c r="H243" s="61">
        <f>'20'!F171</f>
        <v>0</v>
      </c>
      <c r="I243" s="61">
        <f>'20'!G171</f>
        <v>0</v>
      </c>
      <c r="J243" s="61">
        <f>'20'!H171</f>
        <v>0</v>
      </c>
      <c r="K243" s="61">
        <f>'20'!I171</f>
        <v>0</v>
      </c>
      <c r="L243" s="61">
        <f>'20'!J171</f>
        <v>0</v>
      </c>
    </row>
    <row r="244" spans="1:12" x14ac:dyDescent="0.2">
      <c r="A244" s="73"/>
      <c r="B244" s="80" t="s">
        <v>130</v>
      </c>
      <c r="D244" s="80" t="str">
        <f>'20'!A172</f>
        <v>150</v>
      </c>
      <c r="E244" s="81" t="str">
        <f>'20'!B172</f>
        <v>Budgetary Assistance</v>
      </c>
      <c r="G244" s="61">
        <f>'20'!E172</f>
        <v>75349758.030000001</v>
      </c>
      <c r="H244" s="61">
        <f>'20'!F172</f>
        <v>79680000</v>
      </c>
      <c r="I244" s="61">
        <f>'20'!G172</f>
        <v>75929300</v>
      </c>
      <c r="J244" s="61">
        <f>'20'!H172</f>
        <v>78674900</v>
      </c>
      <c r="K244" s="61">
        <f>'20'!I172</f>
        <v>77984600</v>
      </c>
      <c r="L244" s="61">
        <f>'20'!J172</f>
        <v>77671300</v>
      </c>
    </row>
    <row r="245" spans="1:12" x14ac:dyDescent="0.2">
      <c r="A245" s="73"/>
      <c r="B245" s="80" t="s">
        <v>130</v>
      </c>
      <c r="D245" s="80" t="str">
        <f>'20'!A173</f>
        <v>160</v>
      </c>
      <c r="E245" s="81" t="str">
        <f>'20'!B173</f>
        <v>Gains on Exchange</v>
      </c>
      <c r="G245" s="61">
        <f>'20'!E173</f>
        <v>0</v>
      </c>
      <c r="H245" s="61">
        <f>'20'!F173</f>
        <v>4000</v>
      </c>
      <c r="I245" s="61">
        <f>'20'!G173</f>
        <v>1000</v>
      </c>
      <c r="J245" s="61">
        <f>'20'!H173</f>
        <v>4000</v>
      </c>
      <c r="K245" s="61">
        <f>'20'!I173</f>
        <v>4000</v>
      </c>
      <c r="L245" s="61">
        <f>'20'!J173</f>
        <v>4000</v>
      </c>
    </row>
    <row r="246" spans="1:12" x14ac:dyDescent="0.2">
      <c r="A246" s="73"/>
      <c r="B246" s="80" t="s">
        <v>130</v>
      </c>
      <c r="D246" s="80" t="str">
        <f>'20'!A174</f>
        <v>160</v>
      </c>
      <c r="E246" s="81" t="str">
        <f>'20'!B174</f>
        <v>Port Auth. Princ #1 SFR-ORM</v>
      </c>
      <c r="G246" s="61">
        <f>'20'!E174</f>
        <v>287934.59999999998</v>
      </c>
      <c r="H246" s="61">
        <f>'20'!F174</f>
        <v>385000</v>
      </c>
      <c r="I246" s="61">
        <f>'20'!G174</f>
        <v>385000</v>
      </c>
      <c r="J246" s="61">
        <f>'20'!H174</f>
        <v>385000</v>
      </c>
      <c r="K246" s="61">
        <f>'20'!I174</f>
        <v>385000</v>
      </c>
      <c r="L246" s="61">
        <f>'20'!J174</f>
        <v>385000</v>
      </c>
    </row>
    <row r="247" spans="1:12" x14ac:dyDescent="0.2">
      <c r="A247" s="73"/>
      <c r="B247" s="80" t="s">
        <v>130</v>
      </c>
      <c r="D247" s="80" t="str">
        <f>'20'!A175</f>
        <v>160</v>
      </c>
      <c r="E247" s="81" t="str">
        <f>'20'!B175</f>
        <v>Disposal of Vehicles</v>
      </c>
      <c r="G247" s="61">
        <f>'20'!E175</f>
        <v>6800</v>
      </c>
      <c r="H247" s="61">
        <f>'20'!F175</f>
        <v>14000</v>
      </c>
      <c r="I247" s="61">
        <f>'20'!G175</f>
        <v>7000</v>
      </c>
      <c r="J247" s="61">
        <f>'20'!H175</f>
        <v>14000</v>
      </c>
      <c r="K247" s="61">
        <f>'20'!I175</f>
        <v>14000</v>
      </c>
      <c r="L247" s="61">
        <f>'20'!J175</f>
        <v>14000</v>
      </c>
    </row>
    <row r="248" spans="1:12" x14ac:dyDescent="0.2">
      <c r="A248" s="73"/>
      <c r="B248" s="80" t="s">
        <v>134</v>
      </c>
      <c r="D248" s="80" t="str">
        <f>'20'!A326</f>
        <v>120</v>
      </c>
      <c r="E248" s="81" t="str">
        <f>'20'!B326</f>
        <v xml:space="preserve">Stamp Duty                           </v>
      </c>
      <c r="G248" s="61">
        <f>'20'!E326</f>
        <v>63061.009999999995</v>
      </c>
      <c r="H248" s="61">
        <f>'20'!F326</f>
        <v>60000</v>
      </c>
      <c r="I248" s="61">
        <f>'20'!G326</f>
        <v>113300</v>
      </c>
      <c r="J248" s="61">
        <f>'20'!H326</f>
        <v>60000</v>
      </c>
      <c r="K248" s="61">
        <f>'20'!I326</f>
        <v>60000</v>
      </c>
      <c r="L248" s="61">
        <f>'20'!J326</f>
        <v>60000</v>
      </c>
    </row>
    <row r="249" spans="1:12" x14ac:dyDescent="0.2">
      <c r="A249" s="73"/>
      <c r="B249" s="80" t="s">
        <v>134</v>
      </c>
      <c r="D249" s="80">
        <f>'20'!A327</f>
        <v>122</v>
      </c>
      <c r="E249" s="81" t="str">
        <f>'20'!B327</f>
        <v>Other Business</v>
      </c>
      <c r="G249" s="61">
        <f>'20'!E327</f>
        <v>0</v>
      </c>
      <c r="H249" s="61">
        <f>'20'!F327</f>
        <v>0</v>
      </c>
      <c r="I249" s="61">
        <f>'20'!G327</f>
        <v>0</v>
      </c>
      <c r="J249" s="61">
        <f>'20'!H327</f>
        <v>0</v>
      </c>
      <c r="K249" s="61">
        <f>'20'!I327</f>
        <v>0</v>
      </c>
      <c r="L249" s="61">
        <f>'20'!J327</f>
        <v>0</v>
      </c>
    </row>
    <row r="250" spans="1:12" x14ac:dyDescent="0.2">
      <c r="A250" s="73"/>
      <c r="B250" s="80" t="s">
        <v>134</v>
      </c>
      <c r="D250" s="80">
        <f>'20'!A328</f>
        <v>125</v>
      </c>
      <c r="E250" s="81" t="str">
        <f>'20'!B328</f>
        <v>Foreign Currency Levy</v>
      </c>
      <c r="G250" s="61">
        <f>'20'!E328</f>
        <v>0</v>
      </c>
      <c r="H250" s="61">
        <f>'20'!F328</f>
        <v>0</v>
      </c>
      <c r="I250" s="61">
        <f>'20'!G328</f>
        <v>0</v>
      </c>
      <c r="J250" s="61">
        <f>'20'!H328</f>
        <v>0</v>
      </c>
      <c r="K250" s="61">
        <f>'20'!I328</f>
        <v>0</v>
      </c>
      <c r="L250" s="61">
        <f>'20'!J328</f>
        <v>0</v>
      </c>
    </row>
    <row r="251" spans="1:12" x14ac:dyDescent="0.2">
      <c r="A251" s="73"/>
      <c r="B251" s="80" t="s">
        <v>134</v>
      </c>
      <c r="D251" s="80" t="str">
        <f>'20'!A329</f>
        <v>130</v>
      </c>
      <c r="E251" s="81" t="str">
        <f>'20'!B329</f>
        <v xml:space="preserve">Incentive Application            </v>
      </c>
      <c r="G251" s="61">
        <f>'20'!E329</f>
        <v>0</v>
      </c>
      <c r="H251" s="61">
        <f>'20'!F329</f>
        <v>0</v>
      </c>
      <c r="I251" s="61">
        <f>'20'!G329</f>
        <v>0</v>
      </c>
      <c r="J251" s="61">
        <f>'20'!H329</f>
        <v>0</v>
      </c>
      <c r="K251" s="61">
        <f>'20'!I329</f>
        <v>0</v>
      </c>
      <c r="L251" s="61">
        <f>'20'!J329</f>
        <v>0</v>
      </c>
    </row>
    <row r="252" spans="1:12" x14ac:dyDescent="0.2">
      <c r="A252" s="73"/>
      <c r="B252" s="80" t="s">
        <v>134</v>
      </c>
      <c r="D252" s="80">
        <f>'20'!A330</f>
        <v>135</v>
      </c>
      <c r="E252" s="81" t="str">
        <f>'20'!B330</f>
        <v>JCF Deposits</v>
      </c>
      <c r="G252" s="61">
        <f>'20'!E330</f>
        <v>0</v>
      </c>
      <c r="H252" s="61">
        <f>'20'!F330</f>
        <v>0</v>
      </c>
      <c r="I252" s="61">
        <f>'20'!G330</f>
        <v>0</v>
      </c>
      <c r="J252" s="61">
        <f>'20'!H330</f>
        <v>0</v>
      </c>
      <c r="K252" s="61">
        <f>'20'!I330</f>
        <v>0</v>
      </c>
      <c r="L252" s="61">
        <f>'20'!J330</f>
        <v>0</v>
      </c>
    </row>
    <row r="253" spans="1:12" x14ac:dyDescent="0.2">
      <c r="A253" s="75"/>
      <c r="B253" s="80" t="s">
        <v>134</v>
      </c>
      <c r="D253" s="80" t="str">
        <f>'20'!A331</f>
        <v>135</v>
      </c>
      <c r="E253" s="81" t="str">
        <f>'20'!B331</f>
        <v>Personal Advances</v>
      </c>
      <c r="G253" s="61">
        <f>'20'!E331</f>
        <v>34530.61</v>
      </c>
      <c r="H253" s="61">
        <f>'20'!F331</f>
        <v>48500</v>
      </c>
      <c r="I253" s="61">
        <f>'20'!G331</f>
        <v>36100</v>
      </c>
      <c r="J253" s="61">
        <f>'20'!H331</f>
        <v>48500</v>
      </c>
      <c r="K253" s="61">
        <f>'20'!I331</f>
        <v>48500</v>
      </c>
      <c r="L253" s="61">
        <f>'20'!J331</f>
        <v>48500</v>
      </c>
    </row>
    <row r="254" spans="1:12" hidden="1" x14ac:dyDescent="0.2">
      <c r="A254" s="75"/>
      <c r="B254" s="80" t="s">
        <v>134</v>
      </c>
      <c r="D254" s="80">
        <f>'20'!A332</f>
        <v>140</v>
      </c>
      <c r="E254" s="81" t="str">
        <f>'20'!B332</f>
        <v>Share of ECCB Profit</v>
      </c>
      <c r="G254" s="61">
        <f>'20'!E332</f>
        <v>0</v>
      </c>
      <c r="H254" s="61">
        <f>'20'!F332</f>
        <v>0</v>
      </c>
      <c r="I254" s="61">
        <f>'20'!G332</f>
        <v>0</v>
      </c>
      <c r="J254" s="61">
        <f>'20'!H332</f>
        <v>0</v>
      </c>
      <c r="K254" s="61">
        <f>'20'!I332</f>
        <v>0</v>
      </c>
      <c r="L254" s="61">
        <f>'20'!J332</f>
        <v>0</v>
      </c>
    </row>
    <row r="255" spans="1:12" x14ac:dyDescent="0.2">
      <c r="A255" s="73"/>
      <c r="B255" s="80" t="s">
        <v>134</v>
      </c>
      <c r="D255" s="80" t="str">
        <f>'20'!A333</f>
        <v>145</v>
      </c>
      <c r="E255" s="81" t="str">
        <f>'20'!B333</f>
        <v>Reimbursement - Saving Bank</v>
      </c>
      <c r="G255" s="61">
        <f>'20'!E333</f>
        <v>0</v>
      </c>
      <c r="H255" s="61">
        <f>'20'!F333</f>
        <v>0</v>
      </c>
      <c r="I255" s="61">
        <f>'20'!G333</f>
        <v>0</v>
      </c>
      <c r="J255" s="61">
        <f>'20'!H333</f>
        <v>0</v>
      </c>
      <c r="K255" s="61">
        <f>'20'!I333</f>
        <v>0</v>
      </c>
      <c r="L255" s="61">
        <f>'20'!J333</f>
        <v>0</v>
      </c>
    </row>
    <row r="256" spans="1:12" x14ac:dyDescent="0.2">
      <c r="A256" s="73"/>
      <c r="B256" s="80" t="s">
        <v>134</v>
      </c>
      <c r="D256" s="80" t="str">
        <f>'20'!A334</f>
        <v>145</v>
      </c>
      <c r="E256" s="81" t="str">
        <f>'20'!B334</f>
        <v>Overpayments Recovered</v>
      </c>
      <c r="G256" s="61">
        <f>'20'!E334</f>
        <v>50159.93</v>
      </c>
      <c r="H256" s="61">
        <f>'20'!F334</f>
        <v>15000</v>
      </c>
      <c r="I256" s="61">
        <f>'20'!G334</f>
        <v>902800</v>
      </c>
      <c r="J256" s="61">
        <f>'20'!H334</f>
        <v>15000</v>
      </c>
      <c r="K256" s="61">
        <f>'20'!I334</f>
        <v>15000</v>
      </c>
      <c r="L256" s="61">
        <f>'20'!J334</f>
        <v>15000</v>
      </c>
    </row>
    <row r="257" spans="1:12" x14ac:dyDescent="0.2">
      <c r="A257" s="73"/>
      <c r="B257" s="80" t="s">
        <v>134</v>
      </c>
      <c r="D257" s="80" t="str">
        <f>'20'!A335</f>
        <v>145</v>
      </c>
      <c r="E257" s="81" t="str">
        <f>'20'!B335</f>
        <v>Previous Years Reimbursement</v>
      </c>
      <c r="G257" s="61">
        <f>'20'!E335</f>
        <v>50195.880000000005</v>
      </c>
      <c r="H257" s="61">
        <f>'20'!F335</f>
        <v>890000</v>
      </c>
      <c r="I257" s="61">
        <f>'20'!G335</f>
        <v>31200</v>
      </c>
      <c r="J257" s="61">
        <f>'20'!H335</f>
        <v>20000</v>
      </c>
      <c r="K257" s="61">
        <f>'20'!I335</f>
        <v>20000</v>
      </c>
      <c r="L257" s="61">
        <f>'20'!J335</f>
        <v>20000</v>
      </c>
    </row>
    <row r="258" spans="1:12" x14ac:dyDescent="0.2">
      <c r="A258" s="73"/>
      <c r="B258" s="80" t="s">
        <v>134</v>
      </c>
      <c r="D258" s="80" t="str">
        <f>'20'!A336</f>
        <v>160</v>
      </c>
      <c r="E258" s="81" t="str">
        <f>'20'!B336</f>
        <v>Gains on Exchange</v>
      </c>
      <c r="G258" s="61">
        <f>'20'!E336</f>
        <v>43066.81</v>
      </c>
      <c r="H258" s="61">
        <f>'20'!F336</f>
        <v>0</v>
      </c>
      <c r="I258" s="61">
        <f>'20'!G336</f>
        <v>0</v>
      </c>
      <c r="J258" s="61">
        <f>'20'!H336</f>
        <v>0</v>
      </c>
      <c r="K258" s="61">
        <f>'20'!I336</f>
        <v>0</v>
      </c>
      <c r="L258" s="61">
        <f>'20'!J336</f>
        <v>0</v>
      </c>
    </row>
    <row r="259" spans="1:12" x14ac:dyDescent="0.2">
      <c r="A259" s="73"/>
      <c r="B259" s="80" t="s">
        <v>134</v>
      </c>
      <c r="D259" s="80" t="str">
        <f>'20'!A337</f>
        <v>160</v>
      </c>
      <c r="E259" s="81" t="str">
        <f>'20'!B337</f>
        <v>Sale of Condemned Stores</v>
      </c>
      <c r="G259" s="61">
        <f>'20'!E337</f>
        <v>660</v>
      </c>
      <c r="H259" s="61">
        <f>'20'!F337</f>
        <v>0</v>
      </c>
      <c r="I259" s="61">
        <f>'20'!G337</f>
        <v>0</v>
      </c>
      <c r="J259" s="61">
        <f>'20'!H337</f>
        <v>0</v>
      </c>
      <c r="K259" s="61">
        <f>'20'!I337</f>
        <v>0</v>
      </c>
      <c r="L259" s="61">
        <f>'20'!J337</f>
        <v>0</v>
      </c>
    </row>
    <row r="260" spans="1:12" x14ac:dyDescent="0.2">
      <c r="A260" s="73"/>
      <c r="B260" s="80" t="s">
        <v>134</v>
      </c>
      <c r="D260" s="80" t="str">
        <f>'20'!A338</f>
        <v>160</v>
      </c>
      <c r="E260" s="81" t="str">
        <f>'20'!B338</f>
        <v>Petty Receipts</v>
      </c>
      <c r="G260" s="61">
        <f>'20'!E338</f>
        <v>7256.9699999999993</v>
      </c>
      <c r="H260" s="61">
        <f>'20'!F338</f>
        <v>24000</v>
      </c>
      <c r="I260" s="61">
        <f>'20'!G338</f>
        <v>11400</v>
      </c>
      <c r="J260" s="61">
        <f>'20'!H338</f>
        <v>24000</v>
      </c>
      <c r="K260" s="61">
        <f>'20'!I338</f>
        <v>24000</v>
      </c>
      <c r="L260" s="61">
        <f>'20'!J338</f>
        <v>24000</v>
      </c>
    </row>
    <row r="261" spans="1:12" x14ac:dyDescent="0.2">
      <c r="A261" s="73"/>
      <c r="B261" s="80" t="s">
        <v>134</v>
      </c>
      <c r="D261" s="80" t="str">
        <f>'20'!A339</f>
        <v>160</v>
      </c>
      <c r="E261" s="81" t="str">
        <f>'20'!B339</f>
        <v>Miscellaneous Receipts</v>
      </c>
      <c r="G261" s="61">
        <f>'20'!E339</f>
        <v>202892.57</v>
      </c>
      <c r="H261" s="61">
        <f>'20'!F339</f>
        <v>0</v>
      </c>
      <c r="I261" s="61">
        <f>'20'!G339</f>
        <v>0</v>
      </c>
      <c r="J261" s="61">
        <f>'20'!H339</f>
        <v>0</v>
      </c>
      <c r="K261" s="61">
        <f>'20'!I339</f>
        <v>0</v>
      </c>
      <c r="L261" s="61">
        <f>'20'!J339</f>
        <v>0</v>
      </c>
    </row>
    <row r="262" spans="1:12" x14ac:dyDescent="0.2">
      <c r="A262" s="73"/>
      <c r="B262" s="80" t="s">
        <v>136</v>
      </c>
      <c r="D262" s="80">
        <f>'20'!A404</f>
        <v>110</v>
      </c>
      <c r="E262" s="81" t="str">
        <f>'20'!B404</f>
        <v>Company Tax</v>
      </c>
      <c r="G262" s="61">
        <f>'20'!E404</f>
        <v>2799169.1399999997</v>
      </c>
      <c r="H262" s="61">
        <f>'20'!F404</f>
        <v>3218400</v>
      </c>
      <c r="I262" s="61">
        <f>'20'!G404</f>
        <v>3381800</v>
      </c>
      <c r="J262" s="61">
        <f>'20'!H404</f>
        <v>3259600</v>
      </c>
      <c r="K262" s="61">
        <f>'20'!I404</f>
        <v>3321700</v>
      </c>
      <c r="L262" s="61">
        <f>'20'!J404</f>
        <v>3393500</v>
      </c>
    </row>
    <row r="263" spans="1:12" x14ac:dyDescent="0.2">
      <c r="A263" s="73"/>
      <c r="B263" s="80" t="s">
        <v>136</v>
      </c>
      <c r="D263" s="80">
        <f>'20'!A405</f>
        <v>110</v>
      </c>
      <c r="E263" s="81" t="str">
        <f>'20'!B405</f>
        <v>Income Tax (Personal)</v>
      </c>
      <c r="G263" s="61">
        <f>'20'!E405</f>
        <v>12096571.890000001</v>
      </c>
      <c r="H263" s="61">
        <f>'20'!F405</f>
        <v>12057600</v>
      </c>
      <c r="I263" s="61">
        <f>'20'!G405</f>
        <v>11418700</v>
      </c>
      <c r="J263" s="61">
        <f>'20'!H405</f>
        <v>12287400</v>
      </c>
      <c r="K263" s="61">
        <f>'20'!I405</f>
        <v>12553100</v>
      </c>
      <c r="L263" s="61">
        <f>'20'!J405</f>
        <v>12827800</v>
      </c>
    </row>
    <row r="264" spans="1:12" x14ac:dyDescent="0.2">
      <c r="A264" s="73"/>
      <c r="B264" s="80" t="s">
        <v>136</v>
      </c>
      <c r="D264" s="80">
        <f>'20'!A406</f>
        <v>110</v>
      </c>
      <c r="E264" s="81" t="str">
        <f>'20'!B406</f>
        <v>Withholding Tax</v>
      </c>
      <c r="G264" s="61">
        <f>'20'!E406</f>
        <v>848359.62999999989</v>
      </c>
      <c r="H264" s="61">
        <f>'20'!F406</f>
        <v>800000</v>
      </c>
      <c r="I264" s="61">
        <f>'20'!G406</f>
        <v>814200</v>
      </c>
      <c r="J264" s="61">
        <f>'20'!H406</f>
        <v>800000</v>
      </c>
      <c r="K264" s="61">
        <f>'20'!I406</f>
        <v>800000</v>
      </c>
      <c r="L264" s="61">
        <f>'20'!J406</f>
        <v>800000</v>
      </c>
    </row>
    <row r="265" spans="1:12" x14ac:dyDescent="0.2">
      <c r="A265" s="73"/>
      <c r="B265" s="80" t="s">
        <v>136</v>
      </c>
      <c r="D265" s="80">
        <f>'20'!A407</f>
        <v>115</v>
      </c>
      <c r="E265" s="81" t="str">
        <f>'20'!B407</f>
        <v>Property Tax</v>
      </c>
      <c r="G265" s="61">
        <f>'20'!E407</f>
        <v>708911.77999999991</v>
      </c>
      <c r="H265" s="61">
        <f>'20'!F407</f>
        <v>910000</v>
      </c>
      <c r="I265" s="61">
        <f>'20'!G407</f>
        <v>737800</v>
      </c>
      <c r="J265" s="61">
        <f>'20'!H407</f>
        <v>920000</v>
      </c>
      <c r="K265" s="61">
        <f>'20'!I407</f>
        <v>930000</v>
      </c>
      <c r="L265" s="61">
        <f>'20'!J407</f>
        <v>930000</v>
      </c>
    </row>
    <row r="266" spans="1:12" x14ac:dyDescent="0.2">
      <c r="A266" s="7"/>
      <c r="B266" s="80" t="s">
        <v>136</v>
      </c>
      <c r="D266" s="80">
        <f>'20'!A408</f>
        <v>120</v>
      </c>
      <c r="E266" s="81" t="str">
        <f>'20'!B408</f>
        <v xml:space="preserve">Hotel/Residential Occupancy Tax </v>
      </c>
      <c r="G266" s="61">
        <f>'20'!E408</f>
        <v>35308.130000000005</v>
      </c>
      <c r="H266" s="61">
        <f>'20'!F408</f>
        <v>45000</v>
      </c>
      <c r="I266" s="61">
        <f>'20'!G408</f>
        <v>40600</v>
      </c>
      <c r="J266" s="61">
        <f>'20'!H408</f>
        <v>55000</v>
      </c>
      <c r="K266" s="61">
        <f>'20'!I408</f>
        <v>65000</v>
      </c>
      <c r="L266" s="61">
        <f>'20'!J408</f>
        <v>65000</v>
      </c>
    </row>
    <row r="267" spans="1:12" x14ac:dyDescent="0.2">
      <c r="A267" s="73"/>
      <c r="B267" s="80" t="s">
        <v>136</v>
      </c>
      <c r="D267" s="80">
        <f>'20'!A409</f>
        <v>120</v>
      </c>
      <c r="E267" s="81" t="str">
        <f>'20'!B409</f>
        <v>Insurance Company Levy</v>
      </c>
      <c r="G267" s="61">
        <f>'20'!E409</f>
        <v>224305.26</v>
      </c>
      <c r="H267" s="61">
        <f>'20'!F409</f>
        <v>210000</v>
      </c>
      <c r="I267" s="61">
        <f>'20'!G409</f>
        <v>209400</v>
      </c>
      <c r="J267" s="61">
        <f>'20'!H409</f>
        <v>217000</v>
      </c>
      <c r="K267" s="61">
        <f>'20'!I409</f>
        <v>226800</v>
      </c>
      <c r="L267" s="61">
        <f>'20'!J409</f>
        <v>237600</v>
      </c>
    </row>
    <row r="268" spans="1:12" x14ac:dyDescent="0.2">
      <c r="A268" s="73"/>
      <c r="B268" s="80" t="s">
        <v>136</v>
      </c>
      <c r="D268" s="80">
        <f>'20'!A410</f>
        <v>120</v>
      </c>
      <c r="E268" s="81" t="str">
        <f>'20'!B410</f>
        <v xml:space="preserve">Embarkation Tax        </v>
      </c>
      <c r="G268" s="61">
        <f>'20'!E410</f>
        <v>383590.18</v>
      </c>
      <c r="H268" s="61">
        <f>'20'!F410</f>
        <v>389600</v>
      </c>
      <c r="I268" s="61">
        <f>'20'!G410</f>
        <v>415300</v>
      </c>
      <c r="J268" s="61">
        <f>'20'!H410</f>
        <v>389600</v>
      </c>
      <c r="K268" s="61">
        <f>'20'!I410</f>
        <v>389600</v>
      </c>
      <c r="L268" s="61">
        <f>'20'!J410</f>
        <v>389600</v>
      </c>
    </row>
    <row r="269" spans="1:12" x14ac:dyDescent="0.2">
      <c r="A269" s="73"/>
      <c r="B269" s="80" t="s">
        <v>136</v>
      </c>
      <c r="D269" s="80">
        <f>'20'!A411</f>
        <v>125</v>
      </c>
      <c r="E269" s="81" t="str">
        <f>'20'!B411</f>
        <v xml:space="preserve">Import Duties                        </v>
      </c>
      <c r="G269" s="61">
        <f>'20'!E411</f>
        <v>6047032.7200000007</v>
      </c>
      <c r="H269" s="61">
        <f>'20'!F411</f>
        <v>6050000</v>
      </c>
      <c r="I269" s="61">
        <f>'20'!G411</f>
        <v>6121400</v>
      </c>
      <c r="J269" s="61">
        <f>'20'!H411</f>
        <v>6165300</v>
      </c>
      <c r="K269" s="61">
        <f>'20'!I411</f>
        <v>6298600</v>
      </c>
      <c r="L269" s="61">
        <f>'20'!J411</f>
        <v>6436400</v>
      </c>
    </row>
    <row r="270" spans="1:12" x14ac:dyDescent="0.2">
      <c r="A270" s="73"/>
      <c r="B270" s="80" t="s">
        <v>136</v>
      </c>
      <c r="D270" s="80">
        <f>'20'!A412</f>
        <v>125</v>
      </c>
      <c r="E270" s="81" t="str">
        <f>'20'!B412</f>
        <v xml:space="preserve">Consumption Tax               </v>
      </c>
      <c r="G270" s="61">
        <f>'20'!E412</f>
        <v>10993772.699999999</v>
      </c>
      <c r="H270" s="61">
        <f>'20'!F412</f>
        <v>11326300</v>
      </c>
      <c r="I270" s="61">
        <f>'20'!G412</f>
        <v>10883600</v>
      </c>
      <c r="J270" s="61">
        <f>'20'!H412</f>
        <v>11542200</v>
      </c>
      <c r="K270" s="61">
        <f>'20'!I412</f>
        <v>11791800</v>
      </c>
      <c r="L270" s="61">
        <f>'20'!J412</f>
        <v>12049800</v>
      </c>
    </row>
    <row r="271" spans="1:12" x14ac:dyDescent="0.2">
      <c r="A271" s="73"/>
      <c r="B271" s="80" t="s">
        <v>136</v>
      </c>
      <c r="D271" s="80">
        <f>'20'!A413</f>
        <v>125</v>
      </c>
      <c r="E271" s="81" t="str">
        <f>'20'!B413</f>
        <v xml:space="preserve">Entertainment Tax                  </v>
      </c>
      <c r="G271" s="61">
        <f>'20'!E413</f>
        <v>0</v>
      </c>
      <c r="H271" s="61">
        <f>'20'!F413</f>
        <v>0</v>
      </c>
      <c r="I271" s="61">
        <f>'20'!G413</f>
        <v>0</v>
      </c>
      <c r="J271" s="61">
        <f>'20'!H413</f>
        <v>0</v>
      </c>
      <c r="K271" s="61">
        <f>'20'!I413</f>
        <v>0</v>
      </c>
      <c r="L271" s="61">
        <f>'20'!J413</f>
        <v>0</v>
      </c>
    </row>
    <row r="272" spans="1:12" x14ac:dyDescent="0.2">
      <c r="A272" s="73"/>
      <c r="B272" s="80" t="s">
        <v>136</v>
      </c>
      <c r="D272" s="80">
        <f>'20'!A414</f>
        <v>125</v>
      </c>
      <c r="E272" s="81" t="str">
        <f>'20'!B414</f>
        <v>Customs Processing Fee</v>
      </c>
      <c r="G272" s="61">
        <f>'20'!E414</f>
        <v>1002450.99</v>
      </c>
      <c r="H272" s="61">
        <f>'20'!F414</f>
        <v>910000</v>
      </c>
      <c r="I272" s="61">
        <f>'20'!G414</f>
        <v>1045900</v>
      </c>
      <c r="J272" s="61">
        <f>'20'!H414</f>
        <v>910000</v>
      </c>
      <c r="K272" s="61">
        <f>'20'!I414</f>
        <v>910000</v>
      </c>
      <c r="L272" s="61">
        <f>'20'!J414</f>
        <v>910000</v>
      </c>
    </row>
    <row r="273" spans="1:12" x14ac:dyDescent="0.2">
      <c r="A273" s="73"/>
      <c r="B273" s="80" t="s">
        <v>136</v>
      </c>
      <c r="D273" s="80">
        <f>'20'!A415</f>
        <v>125</v>
      </c>
      <c r="E273" s="81" t="str">
        <f>'20'!B415</f>
        <v>Cruise Ship Tax (DEFERRED)</v>
      </c>
      <c r="G273" s="61">
        <f>'20'!E415</f>
        <v>0</v>
      </c>
      <c r="H273" s="61">
        <f>'20'!F415</f>
        <v>0</v>
      </c>
      <c r="I273" s="61">
        <f>'20'!G415</f>
        <v>0</v>
      </c>
      <c r="J273" s="61">
        <f>'20'!H415</f>
        <v>0</v>
      </c>
      <c r="K273" s="61">
        <f>'20'!I415</f>
        <v>0</v>
      </c>
      <c r="L273" s="61">
        <f>'20'!J415</f>
        <v>0</v>
      </c>
    </row>
    <row r="274" spans="1:12" x14ac:dyDescent="0.2">
      <c r="A274" s="73"/>
      <c r="B274" s="80" t="s">
        <v>136</v>
      </c>
      <c r="D274" s="80">
        <f>'20'!A416</f>
        <v>129</v>
      </c>
      <c r="E274" s="81" t="str">
        <f>'20'!B416</f>
        <v>Arrears of Taxes</v>
      </c>
      <c r="G274" s="61">
        <f>'20'!E416</f>
        <v>1070513.6599999999</v>
      </c>
      <c r="H274" s="61">
        <f>'20'!F416</f>
        <v>970000</v>
      </c>
      <c r="I274" s="61">
        <f>'20'!G416</f>
        <v>707100</v>
      </c>
      <c r="J274" s="61">
        <f>'20'!H416</f>
        <v>940000</v>
      </c>
      <c r="K274" s="61">
        <f>'20'!I416</f>
        <v>940000</v>
      </c>
      <c r="L274" s="61">
        <f>'20'!J416</f>
        <v>940000</v>
      </c>
    </row>
    <row r="275" spans="1:12" x14ac:dyDescent="0.2">
      <c r="A275" s="73"/>
      <c r="B275" s="80" t="s">
        <v>136</v>
      </c>
      <c r="D275" s="80">
        <f>'20'!A417</f>
        <v>130</v>
      </c>
      <c r="E275" s="81" t="str">
        <f>'20'!B417</f>
        <v xml:space="preserve">Customs Fines </v>
      </c>
      <c r="G275" s="61">
        <f>'20'!E417</f>
        <v>10250</v>
      </c>
      <c r="H275" s="61">
        <f>'20'!F417</f>
        <v>3600</v>
      </c>
      <c r="I275" s="61">
        <f>'20'!G417</f>
        <v>6600</v>
      </c>
      <c r="J275" s="61">
        <f>'20'!H417</f>
        <v>3600</v>
      </c>
      <c r="K275" s="61">
        <f>'20'!I417</f>
        <v>3600</v>
      </c>
      <c r="L275" s="61">
        <f>'20'!J417</f>
        <v>3600</v>
      </c>
    </row>
    <row r="276" spans="1:12" x14ac:dyDescent="0.2">
      <c r="A276" s="73"/>
      <c r="B276" s="80" t="s">
        <v>136</v>
      </c>
      <c r="D276" s="80">
        <f>'20'!A418</f>
        <v>130</v>
      </c>
      <c r="E276" s="81" t="str">
        <f>'20'!B418</f>
        <v xml:space="preserve">Customs Officers Fees       </v>
      </c>
      <c r="G276" s="61">
        <f>'20'!E418</f>
        <v>219935.16</v>
      </c>
      <c r="H276" s="61">
        <f>'20'!F418</f>
        <v>150000</v>
      </c>
      <c r="I276" s="61">
        <f>'20'!G418</f>
        <v>223300</v>
      </c>
      <c r="J276" s="61">
        <f>'20'!H418</f>
        <v>237000</v>
      </c>
      <c r="K276" s="61">
        <f>'20'!I418</f>
        <v>237000</v>
      </c>
      <c r="L276" s="61">
        <f>'20'!J418</f>
        <v>237000</v>
      </c>
    </row>
    <row r="277" spans="1:12" x14ac:dyDescent="0.2">
      <c r="A277" s="73"/>
      <c r="B277" s="80" t="s">
        <v>136</v>
      </c>
      <c r="D277" s="80">
        <f>'20'!A419</f>
        <v>130</v>
      </c>
      <c r="E277" s="81" t="str">
        <f>'20'!B419</f>
        <v>Shipping Fees</v>
      </c>
      <c r="G277" s="61">
        <f>'20'!E419</f>
        <v>0</v>
      </c>
      <c r="H277" s="61">
        <f>'20'!F419</f>
        <v>0</v>
      </c>
      <c r="I277" s="61">
        <f>'20'!G419</f>
        <v>1000</v>
      </c>
      <c r="J277" s="61">
        <f>'20'!H419</f>
        <v>0</v>
      </c>
      <c r="K277" s="61">
        <f>'20'!I419</f>
        <v>0</v>
      </c>
      <c r="L277" s="61">
        <f>'20'!J419</f>
        <v>0</v>
      </c>
    </row>
    <row r="278" spans="1:12" x14ac:dyDescent="0.2">
      <c r="A278" s="73"/>
      <c r="B278" s="80" t="s">
        <v>136</v>
      </c>
      <c r="D278" s="80">
        <f>'20'!A420</f>
        <v>130</v>
      </c>
      <c r="E278" s="81" t="str">
        <f>'20'!B420</f>
        <v>ASYCUDA User Access Fees</v>
      </c>
      <c r="G278" s="61">
        <f>'20'!E420</f>
        <v>0</v>
      </c>
      <c r="H278" s="61">
        <f>'20'!F420</f>
        <v>0</v>
      </c>
      <c r="I278" s="61">
        <f>'20'!G420</f>
        <v>0</v>
      </c>
      <c r="J278" s="61">
        <f>'20'!H420</f>
        <v>0</v>
      </c>
      <c r="K278" s="61">
        <f>'20'!I420</f>
        <v>0</v>
      </c>
      <c r="L278" s="61">
        <f>'20'!J420</f>
        <v>0</v>
      </c>
    </row>
    <row r="279" spans="1:12" x14ac:dyDescent="0.2">
      <c r="A279" s="73"/>
      <c r="B279" s="80" t="s">
        <v>136</v>
      </c>
      <c r="D279" s="80">
        <f>'20'!A421</f>
        <v>135</v>
      </c>
      <c r="E279" s="81" t="str">
        <f>'20'!B421</f>
        <v>Royalties - Quarries</v>
      </c>
      <c r="G279" s="61">
        <f>'20'!E421</f>
        <v>0</v>
      </c>
      <c r="H279" s="61">
        <f>'20'!F421</f>
        <v>200000</v>
      </c>
      <c r="I279" s="61">
        <f>'20'!G421</f>
        <v>507000</v>
      </c>
      <c r="J279" s="61">
        <f>'20'!H421</f>
        <v>350000</v>
      </c>
      <c r="K279" s="61">
        <f>'20'!I421</f>
        <v>350000</v>
      </c>
      <c r="L279" s="61">
        <f>'20'!J421</f>
        <v>350000</v>
      </c>
    </row>
    <row r="280" spans="1:12" x14ac:dyDescent="0.2">
      <c r="A280" s="73"/>
      <c r="B280" s="80" t="s">
        <v>136</v>
      </c>
      <c r="D280" s="80">
        <f>'20'!A422</f>
        <v>160</v>
      </c>
      <c r="E280" s="81" t="str">
        <f>'20'!B422</f>
        <v xml:space="preserve">Customs Auction                   </v>
      </c>
      <c r="G280" s="61">
        <f>'20'!E422</f>
        <v>0</v>
      </c>
      <c r="H280" s="61">
        <f>'20'!F422</f>
        <v>0</v>
      </c>
      <c r="I280" s="61">
        <f>'20'!G422</f>
        <v>7000</v>
      </c>
      <c r="J280" s="61">
        <f>'20'!H422</f>
        <v>0</v>
      </c>
      <c r="K280" s="61">
        <f>'20'!I422</f>
        <v>0</v>
      </c>
      <c r="L280" s="61">
        <f>'20'!J422</f>
        <v>0</v>
      </c>
    </row>
    <row r="281" spans="1:12" x14ac:dyDescent="0.2">
      <c r="A281" s="73"/>
      <c r="B281" s="80" t="s">
        <v>136</v>
      </c>
      <c r="D281" s="80">
        <f>'20'!A423</f>
        <v>160</v>
      </c>
      <c r="E281" s="81" t="str">
        <f>'20'!B423</f>
        <v>Other Receipts</v>
      </c>
      <c r="G281" s="61">
        <f>'20'!E423</f>
        <v>15000</v>
      </c>
      <c r="H281" s="61">
        <f>'20'!F423</f>
        <v>0</v>
      </c>
      <c r="I281" s="61">
        <f>'20'!G423</f>
        <v>0</v>
      </c>
      <c r="J281" s="61">
        <f>'20'!H423</f>
        <v>0</v>
      </c>
      <c r="K281" s="61">
        <f>'20'!I423</f>
        <v>0</v>
      </c>
      <c r="L281" s="61">
        <f>'20'!J423</f>
        <v>0</v>
      </c>
    </row>
    <row r="282" spans="1:12" x14ac:dyDescent="0.2">
      <c r="A282" s="73"/>
      <c r="B282" s="80" t="s">
        <v>138</v>
      </c>
      <c r="D282" s="80" t="str">
        <f>'20'!A505</f>
        <v>130</v>
      </c>
      <c r="E282" s="81" t="str">
        <f>'20'!B505</f>
        <v>Commissions on Money Order</v>
      </c>
      <c r="G282" s="61">
        <f>'20'!E505</f>
        <v>677.42000000000007</v>
      </c>
      <c r="H282" s="61">
        <f>'20'!F505</f>
        <v>3500</v>
      </c>
      <c r="I282" s="61">
        <f>'20'!G505</f>
        <v>400</v>
      </c>
      <c r="J282" s="61">
        <f>'20'!H505</f>
        <v>3500</v>
      </c>
      <c r="K282" s="61">
        <f>'20'!I505</f>
        <v>3500</v>
      </c>
      <c r="L282" s="61">
        <f>'20'!J505</f>
        <v>3500</v>
      </c>
    </row>
    <row r="283" spans="1:12" x14ac:dyDescent="0.2">
      <c r="A283" s="73"/>
      <c r="B283" s="80" t="s">
        <v>138</v>
      </c>
      <c r="D283" s="80" t="str">
        <f>'20'!A506</f>
        <v>160</v>
      </c>
      <c r="E283" s="81" t="str">
        <f>'20'!B506</f>
        <v>Parcel Post</v>
      </c>
      <c r="G283" s="61">
        <f>'20'!E506</f>
        <v>2200</v>
      </c>
      <c r="H283" s="61">
        <f>'20'!F506</f>
        <v>7000</v>
      </c>
      <c r="I283" s="61">
        <f>'20'!G506</f>
        <v>3100</v>
      </c>
      <c r="J283" s="61">
        <f>'20'!H506</f>
        <v>7000</v>
      </c>
      <c r="K283" s="61">
        <f>'20'!I506</f>
        <v>7000</v>
      </c>
      <c r="L283" s="61">
        <f>'20'!J506</f>
        <v>7000</v>
      </c>
    </row>
    <row r="284" spans="1:12" x14ac:dyDescent="0.2">
      <c r="A284" s="73"/>
      <c r="B284" s="80" t="s">
        <v>138</v>
      </c>
      <c r="D284" s="80" t="str">
        <f>'20'!A507</f>
        <v>160</v>
      </c>
      <c r="E284" s="81" t="str">
        <f>'20'!B507</f>
        <v>Stamp Sales</v>
      </c>
      <c r="G284" s="61">
        <f>'20'!E507</f>
        <v>269623.7</v>
      </c>
      <c r="H284" s="61">
        <f>'20'!F507</f>
        <v>195000</v>
      </c>
      <c r="I284" s="61">
        <f>'20'!G507</f>
        <v>248000</v>
      </c>
      <c r="J284" s="61">
        <f>'20'!H507</f>
        <v>225000</v>
      </c>
      <c r="K284" s="61">
        <f>'20'!I507</f>
        <v>225000</v>
      </c>
      <c r="L284" s="61">
        <f>'20'!J507</f>
        <v>225000</v>
      </c>
    </row>
    <row r="285" spans="1:12" x14ac:dyDescent="0.2">
      <c r="A285" s="73"/>
      <c r="B285" s="80" t="s">
        <v>138</v>
      </c>
      <c r="D285" s="80" t="str">
        <f>'20'!A508</f>
        <v>160</v>
      </c>
      <c r="E285" s="81" t="str">
        <f>'20'!B508</f>
        <v>Gain on Remittances</v>
      </c>
      <c r="G285" s="61">
        <f>'20'!E508</f>
        <v>0</v>
      </c>
      <c r="H285" s="61">
        <f>'20'!F508</f>
        <v>0</v>
      </c>
      <c r="I285" s="61">
        <f>'20'!G508</f>
        <v>0</v>
      </c>
      <c r="J285" s="61">
        <f>'20'!H508</f>
        <v>0</v>
      </c>
      <c r="K285" s="61">
        <f>'20'!I508</f>
        <v>0</v>
      </c>
      <c r="L285" s="61">
        <f>'20'!J508</f>
        <v>0</v>
      </c>
    </row>
    <row r="286" spans="1:12" x14ac:dyDescent="0.2">
      <c r="A286" s="73"/>
      <c r="B286" s="80" t="s">
        <v>138</v>
      </c>
      <c r="D286" s="80" t="str">
        <f>'20'!A509</f>
        <v>160</v>
      </c>
      <c r="E286" s="81" t="str">
        <f>'20'!B509</f>
        <v>Other Receipts</v>
      </c>
      <c r="G286" s="61">
        <f>'20'!E509</f>
        <v>15931.2</v>
      </c>
      <c r="H286" s="61">
        <f>'20'!F509</f>
        <v>10000</v>
      </c>
      <c r="I286" s="61">
        <f>'20'!G509</f>
        <v>42700</v>
      </c>
      <c r="J286" s="61">
        <f>'20'!H509</f>
        <v>10000</v>
      </c>
      <c r="K286" s="61">
        <f>'20'!I509</f>
        <v>10000</v>
      </c>
      <c r="L286" s="61">
        <f>'20'!J509</f>
        <v>10000</v>
      </c>
    </row>
    <row r="287" spans="1:12" ht="9.75" customHeight="1" x14ac:dyDescent="0.2">
      <c r="A287" s="73"/>
      <c r="B287" s="80" t="s">
        <v>141</v>
      </c>
      <c r="D287" s="80">
        <f>'30'!A89</f>
        <v>122</v>
      </c>
      <c r="E287" s="81" t="str">
        <f>'30'!B89</f>
        <v xml:space="preserve">Landholding Licenses       </v>
      </c>
      <c r="G287" s="61">
        <f>'30'!E89</f>
        <v>461944.62</v>
      </c>
      <c r="H287" s="61">
        <f>'30'!F89</f>
        <v>300000</v>
      </c>
      <c r="I287" s="61">
        <f>'30'!G89</f>
        <v>176200</v>
      </c>
      <c r="J287" s="61">
        <f>'30'!H89</f>
        <v>300000</v>
      </c>
      <c r="K287" s="61">
        <f>'30'!I89</f>
        <v>300000</v>
      </c>
      <c r="L287" s="61">
        <f>'30'!J89</f>
        <v>300000</v>
      </c>
    </row>
    <row r="288" spans="1:12" x14ac:dyDescent="0.2">
      <c r="A288" s="73"/>
      <c r="B288" s="80" t="s">
        <v>141</v>
      </c>
      <c r="D288" s="80">
        <f>'30'!A90</f>
        <v>122</v>
      </c>
      <c r="E288" s="81" t="str">
        <f>'30'!B90</f>
        <v>Mining Licences</v>
      </c>
      <c r="G288" s="61">
        <f>'30'!E90</f>
        <v>0</v>
      </c>
      <c r="H288" s="61">
        <f>'30'!F90</f>
        <v>0</v>
      </c>
      <c r="I288" s="61">
        <f>'30'!G90</f>
        <v>0</v>
      </c>
      <c r="J288" s="61">
        <f>'30'!H90</f>
        <v>0</v>
      </c>
      <c r="K288" s="61">
        <f>'30'!I90</f>
        <v>0</v>
      </c>
      <c r="L288" s="61">
        <f>'30'!J90</f>
        <v>0</v>
      </c>
    </row>
    <row r="289" spans="1:12" x14ac:dyDescent="0.2">
      <c r="A289" s="73"/>
      <c r="B289" s="80" t="s">
        <v>141</v>
      </c>
      <c r="D289" s="80" t="str">
        <f>'30'!A91</f>
        <v>130</v>
      </c>
      <c r="E289" s="81" t="str">
        <f>'30'!B91</f>
        <v xml:space="preserve">Real Est. Agents Regis .     </v>
      </c>
      <c r="G289" s="61">
        <f>'30'!E91</f>
        <v>13000</v>
      </c>
      <c r="H289" s="61">
        <f>'30'!F91</f>
        <v>18000</v>
      </c>
      <c r="I289" s="61">
        <f>'30'!G91</f>
        <v>13700</v>
      </c>
      <c r="J289" s="61">
        <f>'30'!H91</f>
        <v>18000</v>
      </c>
      <c r="K289" s="61">
        <f>'30'!I91</f>
        <v>18000</v>
      </c>
      <c r="L289" s="61">
        <f>'30'!J91</f>
        <v>18000</v>
      </c>
    </row>
    <row r="290" spans="1:12" x14ac:dyDescent="0.2">
      <c r="A290" s="73"/>
      <c r="B290" s="80" t="s">
        <v>141</v>
      </c>
      <c r="D290" s="80">
        <f>'30'!A92</f>
        <v>135</v>
      </c>
      <c r="E290" s="81" t="str">
        <f>'30'!B92</f>
        <v>Royalties - Quarries</v>
      </c>
      <c r="G290" s="61">
        <f>'30'!E92</f>
        <v>124095</v>
      </c>
      <c r="H290" s="61">
        <f>'30'!F92</f>
        <v>0</v>
      </c>
      <c r="I290" s="61">
        <f>'30'!G92</f>
        <v>0</v>
      </c>
      <c r="J290" s="61">
        <f>'30'!H92</f>
        <v>0</v>
      </c>
      <c r="K290" s="61">
        <f>'30'!I92</f>
        <v>0</v>
      </c>
      <c r="L290" s="61">
        <f>'30'!J92</f>
        <v>0</v>
      </c>
    </row>
    <row r="291" spans="1:12" x14ac:dyDescent="0.2">
      <c r="A291" s="73"/>
      <c r="B291" s="80" t="s">
        <v>141</v>
      </c>
      <c r="D291" s="80">
        <f>'30'!A93</f>
        <v>160</v>
      </c>
      <c r="E291" s="81" t="str">
        <f>'30'!B93</f>
        <v>General Receipts</v>
      </c>
      <c r="G291" s="61">
        <f>'30'!E93</f>
        <v>0</v>
      </c>
      <c r="H291" s="61">
        <f>'30'!F93</f>
        <v>0</v>
      </c>
      <c r="I291" s="61">
        <f>'30'!G93</f>
        <v>0</v>
      </c>
      <c r="J291" s="61">
        <f>'30'!H93</f>
        <v>0</v>
      </c>
      <c r="K291" s="61">
        <f>'30'!I93</f>
        <v>0</v>
      </c>
      <c r="L291" s="61">
        <f>'30'!J93</f>
        <v>0</v>
      </c>
    </row>
    <row r="292" spans="1:12" x14ac:dyDescent="0.2">
      <c r="A292" s="73"/>
      <c r="B292" s="80" t="s">
        <v>143</v>
      </c>
      <c r="D292" s="80">
        <f>'30'!A171</f>
        <v>130</v>
      </c>
      <c r="E292" s="81" t="str">
        <f>'30'!B171</f>
        <v>Pound Fees</v>
      </c>
      <c r="G292" s="61">
        <f>'30'!E171</f>
        <v>0</v>
      </c>
      <c r="H292" s="61">
        <f>'30'!F171</f>
        <v>0</v>
      </c>
      <c r="I292" s="61">
        <f>'30'!G171</f>
        <v>0</v>
      </c>
      <c r="J292" s="61">
        <f>'30'!H171</f>
        <v>0</v>
      </c>
      <c r="K292" s="61">
        <f>'30'!I171</f>
        <v>0</v>
      </c>
      <c r="L292" s="61">
        <f>'30'!J171</f>
        <v>0</v>
      </c>
    </row>
    <row r="293" spans="1:12" x14ac:dyDescent="0.2">
      <c r="A293" s="73"/>
      <c r="B293" s="80" t="s">
        <v>143</v>
      </c>
      <c r="D293" s="80">
        <f>'30'!A172</f>
        <v>160</v>
      </c>
      <c r="E293" s="81" t="str">
        <f>'30'!B172</f>
        <v>Fisheries Receipts</v>
      </c>
      <c r="G293" s="61">
        <f>'30'!E172</f>
        <v>0</v>
      </c>
      <c r="H293" s="61">
        <f>'30'!F172</f>
        <v>0</v>
      </c>
      <c r="I293" s="61">
        <f>'30'!G172</f>
        <v>0</v>
      </c>
      <c r="J293" s="61">
        <f>'30'!H172</f>
        <v>0</v>
      </c>
      <c r="K293" s="61">
        <f>'30'!I172</f>
        <v>0</v>
      </c>
      <c r="L293" s="61">
        <f>'30'!J172</f>
        <v>0</v>
      </c>
    </row>
    <row r="294" spans="1:12" x14ac:dyDescent="0.2">
      <c r="A294" s="73"/>
      <c r="B294" s="80" t="s">
        <v>143</v>
      </c>
      <c r="D294" s="80">
        <f>'30'!A173</f>
        <v>160</v>
      </c>
      <c r="E294" s="81" t="str">
        <f>'30'!B173</f>
        <v>Hire of Agricultural Equip.</v>
      </c>
      <c r="G294" s="61">
        <f>'30'!E173</f>
        <v>7459.2999999999993</v>
      </c>
      <c r="H294" s="61">
        <f>'30'!F173</f>
        <v>10000</v>
      </c>
      <c r="I294" s="61">
        <f>'30'!G173</f>
        <v>8400</v>
      </c>
      <c r="J294" s="61">
        <f>'30'!H173</f>
        <v>10000</v>
      </c>
      <c r="K294" s="61">
        <f>'30'!I173</f>
        <v>10000</v>
      </c>
      <c r="L294" s="61">
        <f>'30'!J173</f>
        <v>10000</v>
      </c>
    </row>
    <row r="295" spans="1:12" x14ac:dyDescent="0.2">
      <c r="A295" s="73"/>
      <c r="B295" s="80" t="s">
        <v>143</v>
      </c>
      <c r="D295" s="80">
        <f>'30'!A174</f>
        <v>160</v>
      </c>
      <c r="E295" s="81" t="str">
        <f>'30'!B174</f>
        <v>Plant Propagation</v>
      </c>
      <c r="G295" s="61">
        <f>'30'!E174</f>
        <v>11815</v>
      </c>
      <c r="H295" s="61">
        <f>'30'!F174</f>
        <v>15000</v>
      </c>
      <c r="I295" s="61">
        <f>'30'!G174</f>
        <v>9500</v>
      </c>
      <c r="J295" s="61">
        <f>'30'!H174</f>
        <v>15000</v>
      </c>
      <c r="K295" s="61">
        <f>'30'!I174</f>
        <v>15000</v>
      </c>
      <c r="L295" s="61">
        <f>'30'!J174</f>
        <v>15000</v>
      </c>
    </row>
    <row r="296" spans="1:12" x14ac:dyDescent="0.2">
      <c r="A296" s="73"/>
      <c r="B296" s="80" t="s">
        <v>143</v>
      </c>
      <c r="D296" s="80">
        <f>'30'!A175</f>
        <v>160</v>
      </c>
      <c r="E296" s="81" t="str">
        <f>'30'!B175</f>
        <v>Sale of Trees</v>
      </c>
      <c r="G296" s="61">
        <f>'30'!E175</f>
        <v>5820</v>
      </c>
      <c r="H296" s="61">
        <f>'30'!F175</f>
        <v>4000</v>
      </c>
      <c r="I296" s="61">
        <f>'30'!G175</f>
        <v>5500</v>
      </c>
      <c r="J296" s="61">
        <f>'30'!H175</f>
        <v>4000</v>
      </c>
      <c r="K296" s="61">
        <f>'30'!I175</f>
        <v>4000</v>
      </c>
      <c r="L296" s="61">
        <f>'30'!J175</f>
        <v>4000</v>
      </c>
    </row>
    <row r="297" spans="1:12" x14ac:dyDescent="0.2">
      <c r="A297" s="73"/>
      <c r="B297" s="80" t="s">
        <v>143</v>
      </c>
      <c r="D297" s="80">
        <f>'30'!A176</f>
        <v>160</v>
      </c>
      <c r="E297" s="81" t="str">
        <f>'30'!B176</f>
        <v>Livestock Slaughtering Fees</v>
      </c>
      <c r="G297" s="61">
        <f>'30'!E176</f>
        <v>0</v>
      </c>
      <c r="H297" s="61">
        <f>'30'!F176</f>
        <v>0</v>
      </c>
      <c r="I297" s="61">
        <f>'30'!G176</f>
        <v>0</v>
      </c>
      <c r="J297" s="61">
        <f>'30'!H176</f>
        <v>20000</v>
      </c>
      <c r="K297" s="61">
        <f>'30'!I176</f>
        <v>20000</v>
      </c>
      <c r="L297" s="61">
        <f>'30'!J176</f>
        <v>20000</v>
      </c>
    </row>
    <row r="298" spans="1:12" x14ac:dyDescent="0.2">
      <c r="A298" s="73"/>
      <c r="B298" s="80" t="s">
        <v>143</v>
      </c>
      <c r="D298" s="80">
        <f>'30'!A177</f>
        <v>160</v>
      </c>
      <c r="E298" s="81" t="str">
        <f>'30'!B177</f>
        <v>Other Receipts</v>
      </c>
      <c r="G298" s="61">
        <f>'30'!E177</f>
        <v>23789.389999999992</v>
      </c>
      <c r="H298" s="61">
        <f>'30'!F177</f>
        <v>20000</v>
      </c>
      <c r="I298" s="61">
        <f>'30'!G177</f>
        <v>21900</v>
      </c>
      <c r="J298" s="61">
        <f>'30'!H177</f>
        <v>20000</v>
      </c>
      <c r="K298" s="61">
        <f>'30'!I177</f>
        <v>20000</v>
      </c>
      <c r="L298" s="61">
        <f>'30'!J177</f>
        <v>20000</v>
      </c>
    </row>
    <row r="299" spans="1:12" x14ac:dyDescent="0.2">
      <c r="A299" s="73"/>
      <c r="B299" s="80" t="s">
        <v>145</v>
      </c>
      <c r="D299" s="80" t="str">
        <f>'30'!A247</f>
        <v>120</v>
      </c>
      <c r="E299" s="81" t="str">
        <f>'30'!B247</f>
        <v xml:space="preserve">Stamp Duty                           </v>
      </c>
      <c r="G299" s="61">
        <f>'30'!E247</f>
        <v>436035</v>
      </c>
      <c r="H299" s="61">
        <f>'30'!F247</f>
        <v>360000</v>
      </c>
      <c r="I299" s="61">
        <f>'30'!G247</f>
        <v>206600</v>
      </c>
      <c r="J299" s="61">
        <f>'30'!H247</f>
        <v>360000</v>
      </c>
      <c r="K299" s="61">
        <f>'30'!I247</f>
        <v>360000</v>
      </c>
      <c r="L299" s="61">
        <f>'30'!J247</f>
        <v>360000</v>
      </c>
    </row>
    <row r="300" spans="1:12" x14ac:dyDescent="0.2">
      <c r="A300" s="73"/>
      <c r="B300" s="80" t="s">
        <v>145</v>
      </c>
      <c r="D300" s="80">
        <f>'30'!A248</f>
        <v>130</v>
      </c>
      <c r="E300" s="81" t="str">
        <f>'30'!B248</f>
        <v>Advertising  Fees</v>
      </c>
      <c r="G300" s="61">
        <f>'30'!E248</f>
        <v>6384.2</v>
      </c>
      <c r="H300" s="61">
        <f>'30'!F248</f>
        <v>7000</v>
      </c>
      <c r="I300" s="61">
        <f>'30'!G248</f>
        <v>9500</v>
      </c>
      <c r="J300" s="61">
        <f>'30'!H248</f>
        <v>7000</v>
      </c>
      <c r="K300" s="61">
        <f>'30'!I248</f>
        <v>7000</v>
      </c>
      <c r="L300" s="61">
        <f>'30'!J248</f>
        <v>7000</v>
      </c>
    </row>
    <row r="301" spans="1:12" x14ac:dyDescent="0.2">
      <c r="A301" s="73"/>
      <c r="B301" s="80" t="s">
        <v>145</v>
      </c>
      <c r="D301" s="80">
        <f>'30'!A249</f>
        <v>130</v>
      </c>
      <c r="E301" s="81" t="str">
        <f>'30'!B249</f>
        <v xml:space="preserve">Registration of Titles            </v>
      </c>
      <c r="G301" s="61">
        <f>'30'!E249</f>
        <v>173024.36000000002</v>
      </c>
      <c r="H301" s="61">
        <f>'30'!F249</f>
        <v>150000</v>
      </c>
      <c r="I301" s="61">
        <f>'30'!G249</f>
        <v>97200</v>
      </c>
      <c r="J301" s="61">
        <f>'30'!H249</f>
        <v>150000</v>
      </c>
      <c r="K301" s="61">
        <f>'30'!I249</f>
        <v>150000</v>
      </c>
      <c r="L301" s="61">
        <f>'30'!J249</f>
        <v>150000</v>
      </c>
    </row>
    <row r="302" spans="1:12" x14ac:dyDescent="0.2">
      <c r="A302" s="73"/>
      <c r="B302" s="80" t="s">
        <v>145</v>
      </c>
      <c r="D302" s="80">
        <f>'30'!A250</f>
        <v>130</v>
      </c>
      <c r="E302" s="81" t="str">
        <f>'30'!B250</f>
        <v xml:space="preserve">Survey Fees                            </v>
      </c>
      <c r="G302" s="61">
        <f>'30'!E250</f>
        <v>0</v>
      </c>
      <c r="H302" s="61">
        <f>'30'!F250</f>
        <v>0</v>
      </c>
      <c r="I302" s="61">
        <f>'30'!G250</f>
        <v>0</v>
      </c>
      <c r="J302" s="61">
        <f>'30'!H250</f>
        <v>0</v>
      </c>
      <c r="K302" s="61">
        <f>'30'!I250</f>
        <v>0</v>
      </c>
      <c r="L302" s="61">
        <f>'30'!J250</f>
        <v>0</v>
      </c>
    </row>
    <row r="303" spans="1:12" x14ac:dyDescent="0.2">
      <c r="A303" s="73"/>
      <c r="B303" s="80" t="s">
        <v>145</v>
      </c>
      <c r="D303" s="80">
        <f>'30'!A251</f>
        <v>160</v>
      </c>
      <c r="E303" s="81" t="str">
        <f>'30'!B251</f>
        <v xml:space="preserve">Sale of Government Lands </v>
      </c>
      <c r="G303" s="61">
        <f>'30'!E251</f>
        <v>104307.4</v>
      </c>
      <c r="H303" s="61">
        <f>'30'!F251</f>
        <v>30000</v>
      </c>
      <c r="I303" s="61">
        <f>'30'!G251</f>
        <v>63700</v>
      </c>
      <c r="J303" s="61">
        <f>'30'!H251</f>
        <v>30000</v>
      </c>
      <c r="K303" s="61">
        <f>'30'!I251</f>
        <v>30000</v>
      </c>
      <c r="L303" s="61">
        <f>'30'!J251</f>
        <v>30000</v>
      </c>
    </row>
    <row r="304" spans="1:12" x14ac:dyDescent="0.2">
      <c r="A304" s="73"/>
      <c r="B304" s="80" t="s">
        <v>145</v>
      </c>
      <c r="D304" s="80">
        <f>'30'!A252</f>
        <v>160</v>
      </c>
      <c r="E304" s="81" t="str">
        <f>'30'!B252</f>
        <v xml:space="preserve">Sale of Maps etc.                   </v>
      </c>
      <c r="G304" s="61">
        <f>'30'!E252</f>
        <v>6908</v>
      </c>
      <c r="H304" s="61">
        <f>'30'!F252</f>
        <v>5000</v>
      </c>
      <c r="I304" s="61">
        <f>'30'!G252</f>
        <v>6400</v>
      </c>
      <c r="J304" s="61">
        <f>'30'!H252</f>
        <v>17000</v>
      </c>
      <c r="K304" s="61">
        <f>'30'!I252</f>
        <v>17000</v>
      </c>
      <c r="L304" s="61">
        <f>'30'!J252</f>
        <v>17000</v>
      </c>
    </row>
    <row r="305" spans="1:12" x14ac:dyDescent="0.2">
      <c r="A305" s="73"/>
      <c r="B305" s="80" t="s">
        <v>145</v>
      </c>
      <c r="D305" s="80">
        <f>'30'!A253</f>
        <v>160</v>
      </c>
      <c r="E305" s="81" t="str">
        <f>'30'!B253</f>
        <v xml:space="preserve">Lease of Government Lands             </v>
      </c>
      <c r="G305" s="61">
        <f>'30'!E253</f>
        <v>88320</v>
      </c>
      <c r="H305" s="61">
        <f>'30'!F253</f>
        <v>60000</v>
      </c>
      <c r="I305" s="61">
        <f>'30'!G253</f>
        <v>111700</v>
      </c>
      <c r="J305" s="61">
        <f>'30'!H253</f>
        <v>60000</v>
      </c>
      <c r="K305" s="61">
        <f>'30'!I253</f>
        <v>60000</v>
      </c>
      <c r="L305" s="61">
        <f>'30'!J253</f>
        <v>60000</v>
      </c>
    </row>
    <row r="306" spans="1:12" x14ac:dyDescent="0.2">
      <c r="A306" s="73"/>
      <c r="B306" s="80" t="s">
        <v>147</v>
      </c>
      <c r="D306" s="80">
        <f>'30'!A318</f>
        <v>130</v>
      </c>
      <c r="E306" s="81" t="str">
        <f>'30'!B318</f>
        <v>Electricity Inspection Fees</v>
      </c>
      <c r="G306" s="61">
        <f>'30'!E318</f>
        <v>16600</v>
      </c>
      <c r="H306" s="61">
        <f>'30'!F318</f>
        <v>18000</v>
      </c>
      <c r="I306" s="61">
        <f>'30'!G318</f>
        <v>22200</v>
      </c>
      <c r="J306" s="61">
        <f>'30'!H318</f>
        <v>29600</v>
      </c>
      <c r="K306" s="61">
        <f>'30'!I318</f>
        <v>29600</v>
      </c>
      <c r="L306" s="61">
        <f>'30'!J318</f>
        <v>29700</v>
      </c>
    </row>
    <row r="307" spans="1:12" x14ac:dyDescent="0.2">
      <c r="A307" s="73"/>
      <c r="B307" s="80" t="s">
        <v>147</v>
      </c>
      <c r="D307" s="80">
        <f>'30'!A319</f>
        <v>130</v>
      </c>
      <c r="E307" s="81" t="str">
        <f>'30'!B319</f>
        <v>Planning Application Fees</v>
      </c>
      <c r="G307" s="61">
        <f>'30'!E319</f>
        <v>32300</v>
      </c>
      <c r="H307" s="61">
        <f>'30'!F319</f>
        <v>20000</v>
      </c>
      <c r="I307" s="61">
        <f>'30'!G319</f>
        <v>23500</v>
      </c>
      <c r="J307" s="61">
        <f>'30'!H319</f>
        <v>20600</v>
      </c>
      <c r="K307" s="61">
        <f>'30'!I319</f>
        <v>20600</v>
      </c>
      <c r="L307" s="61">
        <f>'30'!J319</f>
        <v>20600</v>
      </c>
    </row>
    <row r="308" spans="1:12" x14ac:dyDescent="0.2">
      <c r="A308" s="73"/>
      <c r="B308" s="80" t="s">
        <v>147</v>
      </c>
      <c r="D308" s="80">
        <f>'30'!A320</f>
        <v>130</v>
      </c>
      <c r="E308" s="81" t="str">
        <f>'30'!B320</f>
        <v>Sand Mining Fees</v>
      </c>
      <c r="G308" s="61">
        <f>'30'!E320</f>
        <v>4220</v>
      </c>
      <c r="H308" s="61">
        <f>'30'!F320</f>
        <v>2000</v>
      </c>
      <c r="I308" s="61">
        <f>'30'!G320</f>
        <v>900</v>
      </c>
      <c r="J308" s="61">
        <f>'30'!H320</f>
        <v>2000</v>
      </c>
      <c r="K308" s="61">
        <f>'30'!I320</f>
        <v>2000</v>
      </c>
      <c r="L308" s="61">
        <f>'30'!J320</f>
        <v>2000</v>
      </c>
    </row>
    <row r="309" spans="1:12" x14ac:dyDescent="0.2">
      <c r="A309" s="73"/>
      <c r="B309" s="80" t="s">
        <v>147</v>
      </c>
      <c r="D309" s="80">
        <f>'30'!A321</f>
        <v>130</v>
      </c>
      <c r="E309" s="81" t="str">
        <f>'30'!B321</f>
        <v>GIS User Fees</v>
      </c>
      <c r="G309" s="61">
        <f>'30'!E321</f>
        <v>1015</v>
      </c>
      <c r="H309" s="61">
        <f>'30'!F321</f>
        <v>1000</v>
      </c>
      <c r="I309" s="61">
        <f>'30'!G321</f>
        <v>800</v>
      </c>
      <c r="J309" s="61">
        <f>'30'!H321</f>
        <v>1000</v>
      </c>
      <c r="K309" s="61">
        <f>'30'!I321</f>
        <v>1000</v>
      </c>
      <c r="L309" s="61">
        <f>'30'!J321</f>
        <v>1000</v>
      </c>
    </row>
    <row r="310" spans="1:12" x14ac:dyDescent="0.2">
      <c r="A310" s="73"/>
      <c r="B310" s="80" t="s">
        <v>147</v>
      </c>
      <c r="D310" s="80">
        <f>'30'!A322</f>
        <v>130</v>
      </c>
      <c r="E310" s="81" t="str">
        <f>'30'!B322</f>
        <v>Other Fees Fines and Permits</v>
      </c>
      <c r="G310" s="61">
        <f>'30'!E322</f>
        <v>0</v>
      </c>
      <c r="H310" s="61">
        <f>'30'!F322</f>
        <v>2000</v>
      </c>
      <c r="I310" s="61">
        <f>'30'!G322</f>
        <v>1200</v>
      </c>
      <c r="J310" s="61">
        <f>'30'!H322</f>
        <v>2000</v>
      </c>
      <c r="K310" s="61">
        <f>'30'!I322</f>
        <v>2000</v>
      </c>
      <c r="L310" s="61">
        <f>'30'!J322</f>
        <v>2000</v>
      </c>
    </row>
    <row r="311" spans="1:12" x14ac:dyDescent="0.2">
      <c r="A311" s="73"/>
      <c r="B311" s="80" t="s">
        <v>191</v>
      </c>
      <c r="D311" s="80">
        <f>'30'!A523</f>
        <v>122</v>
      </c>
      <c r="E311" s="81" t="str">
        <f>'30'!B523</f>
        <v xml:space="preserve">Trade Licenses                   </v>
      </c>
      <c r="G311" s="61">
        <f>'30'!E523</f>
        <v>0</v>
      </c>
      <c r="H311" s="61">
        <f>'30'!F523</f>
        <v>7000</v>
      </c>
      <c r="I311" s="61">
        <f>'30'!G523</f>
        <v>1200</v>
      </c>
      <c r="J311" s="61">
        <f>'30'!H523</f>
        <v>7000</v>
      </c>
      <c r="K311" s="61">
        <f>'30'!I523</f>
        <v>7000</v>
      </c>
      <c r="L311" s="61">
        <f>'30'!J523</f>
        <v>7000</v>
      </c>
    </row>
    <row r="312" spans="1:12" x14ac:dyDescent="0.2">
      <c r="A312" s="73"/>
      <c r="B312" s="80" t="s">
        <v>154</v>
      </c>
      <c r="D312" s="80">
        <f>'30'!A524</f>
        <v>122</v>
      </c>
      <c r="E312" s="81" t="str">
        <f>'30'!B524</f>
        <v>Import Licenses</v>
      </c>
      <c r="G312" s="61">
        <f>'30'!E524</f>
        <v>0</v>
      </c>
      <c r="H312" s="61">
        <f>'30'!F524</f>
        <v>400</v>
      </c>
      <c r="I312" s="61">
        <f>'30'!G524</f>
        <v>0</v>
      </c>
      <c r="J312" s="61">
        <f>'30'!H524</f>
        <v>400</v>
      </c>
      <c r="K312" s="61">
        <f>'30'!I524</f>
        <v>400</v>
      </c>
      <c r="L312" s="61">
        <f>'30'!J524</f>
        <v>400</v>
      </c>
    </row>
    <row r="313" spans="1:12" x14ac:dyDescent="0.2">
      <c r="A313" s="73"/>
      <c r="B313" s="80" t="s">
        <v>154</v>
      </c>
      <c r="D313" s="80" t="str">
        <f>'35'!A77</f>
        <v>122</v>
      </c>
      <c r="E313" s="81" t="str">
        <f>'35'!B77</f>
        <v xml:space="preserve">Driver's Licenses                 </v>
      </c>
      <c r="G313" s="61">
        <f>'35'!E77</f>
        <v>347865</v>
      </c>
      <c r="H313" s="61">
        <f>'35'!F77</f>
        <v>300000</v>
      </c>
      <c r="I313" s="61">
        <f>'35'!G77</f>
        <v>280300</v>
      </c>
      <c r="J313" s="61">
        <f>'35'!H77</f>
        <v>300000</v>
      </c>
      <c r="K313" s="61">
        <f>'35'!I77</f>
        <v>300000</v>
      </c>
      <c r="L313" s="61">
        <f>'35'!J77</f>
        <v>300000</v>
      </c>
    </row>
    <row r="314" spans="1:12" x14ac:dyDescent="0.2">
      <c r="A314" s="73"/>
      <c r="B314" s="80" t="s">
        <v>154</v>
      </c>
      <c r="D314" s="80" t="str">
        <f>'35'!A78</f>
        <v>122</v>
      </c>
      <c r="E314" s="81" t="str">
        <f>'35'!B78</f>
        <v xml:space="preserve">Motor Vehicle Licenses     </v>
      </c>
      <c r="G314" s="61">
        <f>'35'!E78</f>
        <v>873956.23</v>
      </c>
      <c r="H314" s="61">
        <f>'35'!F78</f>
        <v>1150000</v>
      </c>
      <c r="I314" s="61">
        <f>'35'!G78</f>
        <v>1129400</v>
      </c>
      <c r="J314" s="61">
        <f>'35'!H78</f>
        <v>1150000</v>
      </c>
      <c r="K314" s="61">
        <f>'35'!I78</f>
        <v>1150000</v>
      </c>
      <c r="L314" s="61">
        <f>'35'!J78</f>
        <v>1150000</v>
      </c>
    </row>
    <row r="315" spans="1:12" x14ac:dyDescent="0.2">
      <c r="A315" s="73"/>
      <c r="B315" s="80" t="s">
        <v>154</v>
      </c>
      <c r="D315" s="80">
        <f>'35'!A79</f>
        <v>122</v>
      </c>
      <c r="E315" s="81" t="str">
        <f>'35'!B79</f>
        <v xml:space="preserve">Telecom. Licenses             </v>
      </c>
      <c r="G315" s="61">
        <f>'35'!E79</f>
        <v>1030708.1900000001</v>
      </c>
      <c r="H315" s="61">
        <f>'35'!F79</f>
        <v>2140500</v>
      </c>
      <c r="I315" s="61">
        <f>'35'!G79</f>
        <v>847200</v>
      </c>
      <c r="J315" s="61">
        <f>'35'!H79</f>
        <v>997600</v>
      </c>
      <c r="K315" s="61">
        <f>'35'!I79</f>
        <v>994100</v>
      </c>
      <c r="L315" s="61">
        <f>'35'!J79</f>
        <v>990600</v>
      </c>
    </row>
    <row r="316" spans="1:12" x14ac:dyDescent="0.2">
      <c r="A316" s="73"/>
      <c r="B316" s="80" t="s">
        <v>154</v>
      </c>
      <c r="D316" s="80" t="str">
        <f>'35'!A80</f>
        <v>122</v>
      </c>
      <c r="E316" s="81" t="str">
        <f>'35'!B80</f>
        <v xml:space="preserve">Cable TV Licenses             </v>
      </c>
      <c r="G316" s="61">
        <f>'35'!E80</f>
        <v>0</v>
      </c>
      <c r="H316" s="61">
        <f>'35'!F80</f>
        <v>0</v>
      </c>
      <c r="I316" s="61">
        <f>'35'!G80</f>
        <v>0</v>
      </c>
      <c r="J316" s="61">
        <f>'35'!H80</f>
        <v>0</v>
      </c>
      <c r="K316" s="61">
        <f>'35'!I80</f>
        <v>0</v>
      </c>
      <c r="L316" s="61">
        <f>'35'!J80</f>
        <v>0</v>
      </c>
    </row>
    <row r="317" spans="1:12" x14ac:dyDescent="0.2">
      <c r="A317" s="73"/>
      <c r="B317" s="80" t="s">
        <v>154</v>
      </c>
      <c r="D317" s="80" t="str">
        <f>'35'!A81</f>
        <v>125</v>
      </c>
      <c r="E317" s="81" t="str">
        <f>'35'!B81</f>
        <v>Int'l Communication</v>
      </c>
      <c r="G317" s="61">
        <f>'35'!E81</f>
        <v>167314.42000000001</v>
      </c>
      <c r="H317" s="61">
        <f>'35'!F81</f>
        <v>150000</v>
      </c>
      <c r="I317" s="61">
        <f>'35'!G81</f>
        <v>144900</v>
      </c>
      <c r="J317" s="61">
        <f>'35'!H81</f>
        <v>150000</v>
      </c>
      <c r="K317" s="61">
        <f>'35'!I81</f>
        <v>150000</v>
      </c>
      <c r="L317" s="61">
        <f>'35'!J81</f>
        <v>150000</v>
      </c>
    </row>
    <row r="318" spans="1:12" x14ac:dyDescent="0.2">
      <c r="A318" s="73"/>
      <c r="B318" s="80" t="s">
        <v>154</v>
      </c>
      <c r="D318" s="80">
        <f>'35'!A82</f>
        <v>130</v>
      </c>
      <c r="E318" s="81" t="str">
        <f>'35'!B82</f>
        <v>Royalties: Internet Domain</v>
      </c>
      <c r="G318" s="61">
        <f>'35'!E82</f>
        <v>173300.86</v>
      </c>
      <c r="H318" s="61">
        <f>'35'!F82</f>
        <v>174800</v>
      </c>
      <c r="I318" s="61">
        <f>'35'!G82</f>
        <v>174800</v>
      </c>
      <c r="J318" s="61">
        <f>'35'!H82</f>
        <v>175900</v>
      </c>
      <c r="K318" s="61">
        <f>'35'!I82</f>
        <v>179400</v>
      </c>
      <c r="L318" s="61">
        <f>'35'!J82</f>
        <v>182900</v>
      </c>
    </row>
    <row r="319" spans="1:12" x14ac:dyDescent="0.2">
      <c r="A319" s="73"/>
      <c r="B319" s="80" t="s">
        <v>154</v>
      </c>
      <c r="D319" s="80">
        <f>'35'!A83</f>
        <v>135</v>
      </c>
      <c r="E319" s="81" t="str">
        <f>'35'!B83</f>
        <v>Rents, Interests, Dividends</v>
      </c>
      <c r="G319" s="61">
        <f>'35'!E83</f>
        <v>8400</v>
      </c>
      <c r="H319" s="61">
        <f>'35'!F83</f>
        <v>0</v>
      </c>
      <c r="I319" s="61">
        <f>'35'!G83</f>
        <v>46200</v>
      </c>
      <c r="J319" s="61">
        <f>'35'!H83</f>
        <v>25200</v>
      </c>
      <c r="K319" s="61">
        <f>'35'!I83</f>
        <v>0</v>
      </c>
      <c r="L319" s="61">
        <f>'35'!J83</f>
        <v>0</v>
      </c>
    </row>
    <row r="320" spans="1:12" x14ac:dyDescent="0.2">
      <c r="A320" s="73"/>
      <c r="B320" s="80" t="s">
        <v>154</v>
      </c>
      <c r="D320" s="80">
        <f>'35'!A84</f>
        <v>160</v>
      </c>
      <c r="E320" s="81" t="str">
        <f>'35'!B84</f>
        <v>Sale of Condemned Stores</v>
      </c>
      <c r="G320" s="61">
        <f>'35'!E84</f>
        <v>0</v>
      </c>
      <c r="H320" s="61">
        <f>'35'!F84</f>
        <v>4000</v>
      </c>
      <c r="I320" s="61">
        <f>'35'!G84</f>
        <v>2000</v>
      </c>
      <c r="J320" s="61">
        <f>'35'!H84</f>
        <v>3000</v>
      </c>
      <c r="K320" s="61">
        <f>'35'!I84</f>
        <v>3000</v>
      </c>
      <c r="L320" s="61">
        <f>'35'!J84</f>
        <v>3000</v>
      </c>
    </row>
    <row r="321" spans="1:12" x14ac:dyDescent="0.2">
      <c r="A321" s="73"/>
      <c r="B321" s="80" t="s">
        <v>154</v>
      </c>
      <c r="D321" s="80">
        <f>'35'!A85</f>
        <v>160</v>
      </c>
      <c r="E321" s="81" t="str">
        <f>'35'!B85</f>
        <v>Sale of Unallocated Stores</v>
      </c>
      <c r="G321" s="61">
        <f>'35'!E85</f>
        <v>19700</v>
      </c>
      <c r="H321" s="61">
        <f>'35'!F85</f>
        <v>100</v>
      </c>
      <c r="I321" s="61">
        <f>'35'!G85</f>
        <v>100</v>
      </c>
      <c r="J321" s="61">
        <f>'35'!H85</f>
        <v>100</v>
      </c>
      <c r="K321" s="61">
        <f>'35'!I85</f>
        <v>100</v>
      </c>
      <c r="L321" s="61">
        <f>'35'!J85</f>
        <v>100</v>
      </c>
    </row>
    <row r="322" spans="1:12" x14ac:dyDescent="0.2">
      <c r="A322" s="73"/>
      <c r="B322" s="80" t="s">
        <v>154</v>
      </c>
      <c r="D322" s="80">
        <f>'35'!A86</f>
        <v>160</v>
      </c>
      <c r="E322" s="81" t="str">
        <f>'35'!B86</f>
        <v>Re-saleable Stock</v>
      </c>
      <c r="G322" s="61">
        <f>'35'!E86</f>
        <v>32754.45</v>
      </c>
      <c r="H322" s="61">
        <f>'35'!F86</f>
        <v>20000</v>
      </c>
      <c r="I322" s="61">
        <f>'35'!G86</f>
        <v>11300</v>
      </c>
      <c r="J322" s="61">
        <f>'35'!H86</f>
        <v>20000</v>
      </c>
      <c r="K322" s="61">
        <f>'35'!I86</f>
        <v>20000</v>
      </c>
      <c r="L322" s="61">
        <f>'35'!J86</f>
        <v>20000</v>
      </c>
    </row>
    <row r="323" spans="1:12" x14ac:dyDescent="0.2">
      <c r="A323" s="73"/>
      <c r="B323" s="80" t="s">
        <v>155</v>
      </c>
      <c r="D323" s="80">
        <f>'35'!A174</f>
        <v>160</v>
      </c>
      <c r="E323" s="81" t="str">
        <f>'35'!B174</f>
        <v>Hot Mix Plant Operation</v>
      </c>
      <c r="G323" s="61">
        <f>'35'!E174</f>
        <v>7378.3099999999995</v>
      </c>
      <c r="H323" s="61">
        <f>'35'!F174</f>
        <v>50000</v>
      </c>
      <c r="I323" s="61">
        <f>'35'!G174</f>
        <v>33500</v>
      </c>
      <c r="J323" s="61">
        <f>'35'!H174</f>
        <v>50000</v>
      </c>
      <c r="K323" s="61">
        <f>'35'!I174</f>
        <v>50000</v>
      </c>
      <c r="L323" s="61">
        <f>'35'!J174</f>
        <v>50000</v>
      </c>
    </row>
    <row r="324" spans="1:12" x14ac:dyDescent="0.2">
      <c r="A324" s="73"/>
      <c r="B324" s="80" t="s">
        <v>157</v>
      </c>
      <c r="D324" s="80">
        <f>'35'!A243</f>
        <v>130</v>
      </c>
      <c r="E324" s="81" t="str">
        <f>'35'!B243</f>
        <v>PWD Laboratory</v>
      </c>
      <c r="G324" s="61">
        <f>'35'!E243</f>
        <v>83030</v>
      </c>
      <c r="H324" s="61">
        <f>'35'!F243</f>
        <v>20000</v>
      </c>
      <c r="I324" s="61">
        <f>'35'!G243</f>
        <v>7900</v>
      </c>
      <c r="J324" s="61">
        <f>'35'!H243</f>
        <v>20000</v>
      </c>
      <c r="K324" s="61">
        <f>'35'!I243</f>
        <v>20000</v>
      </c>
      <c r="L324" s="61">
        <f>'35'!J243</f>
        <v>20000</v>
      </c>
    </row>
    <row r="325" spans="1:12" x14ac:dyDescent="0.2">
      <c r="A325" s="73"/>
      <c r="B325" s="80" t="s">
        <v>157</v>
      </c>
      <c r="D325" s="80">
        <f>'35'!A244</f>
        <v>160</v>
      </c>
      <c r="E325" s="81" t="str">
        <f>'35'!B244</f>
        <v>Mechanical Spares</v>
      </c>
      <c r="G325" s="61">
        <f>'35'!E244</f>
        <v>19509.28</v>
      </c>
      <c r="H325" s="61">
        <f>'35'!F244</f>
        <v>75000</v>
      </c>
      <c r="I325" s="61">
        <f>'35'!G244</f>
        <v>18000</v>
      </c>
      <c r="J325" s="61">
        <f>'35'!H244</f>
        <v>10000</v>
      </c>
      <c r="K325" s="61">
        <f>'35'!I244</f>
        <v>10000</v>
      </c>
      <c r="L325" s="61">
        <f>'35'!J244</f>
        <v>10000</v>
      </c>
    </row>
    <row r="326" spans="1:12" x14ac:dyDescent="0.2">
      <c r="A326" s="73"/>
      <c r="B326" s="80" t="s">
        <v>157</v>
      </c>
      <c r="D326" s="80">
        <f>'35'!A245</f>
        <v>160</v>
      </c>
      <c r="E326" s="81" t="str">
        <f>'35'!B245</f>
        <v>Plant &amp; Workshop</v>
      </c>
      <c r="G326" s="61">
        <f>'35'!E245</f>
        <v>396006.67</v>
      </c>
      <c r="H326" s="61">
        <f>'35'!F245</f>
        <v>900000</v>
      </c>
      <c r="I326" s="61">
        <f>'35'!G245</f>
        <v>336500</v>
      </c>
      <c r="J326" s="61">
        <f>'35'!H245</f>
        <v>600000</v>
      </c>
      <c r="K326" s="61">
        <f>'35'!I245</f>
        <v>600000</v>
      </c>
      <c r="L326" s="61">
        <f>'35'!J245</f>
        <v>600000</v>
      </c>
    </row>
    <row r="327" spans="1:12" x14ac:dyDescent="0.2">
      <c r="A327" s="73"/>
      <c r="B327" s="80" t="s">
        <v>159</v>
      </c>
      <c r="D327" s="80">
        <f>'35'!A308</f>
        <v>130</v>
      </c>
      <c r="E327" s="81" t="str">
        <f>'35'!B308</f>
        <v>Aircraft Landing Charges</v>
      </c>
      <c r="G327" s="61">
        <f>'35'!E308</f>
        <v>40001</v>
      </c>
      <c r="H327" s="61">
        <f>'35'!F308</f>
        <v>55000</v>
      </c>
      <c r="I327" s="61">
        <f>'35'!G308</f>
        <v>51000</v>
      </c>
      <c r="J327" s="61">
        <f>'35'!H308</f>
        <v>55000</v>
      </c>
      <c r="K327" s="61">
        <f>'35'!I308</f>
        <v>55000</v>
      </c>
      <c r="L327" s="61">
        <f>'35'!J308</f>
        <v>55000</v>
      </c>
    </row>
    <row r="328" spans="1:12" x14ac:dyDescent="0.2">
      <c r="A328" s="73"/>
      <c r="B328" s="80" t="s">
        <v>159</v>
      </c>
      <c r="D328" s="80">
        <f>'35'!A309</f>
        <v>130</v>
      </c>
      <c r="E328" s="81" t="str">
        <f>'35'!B309</f>
        <v>Airport Security Charge</v>
      </c>
      <c r="G328" s="61">
        <f>'35'!E309</f>
        <v>78930</v>
      </c>
      <c r="H328" s="61">
        <f>'35'!F309</f>
        <v>110000</v>
      </c>
      <c r="I328" s="61">
        <f>'35'!G309</f>
        <v>87000</v>
      </c>
      <c r="J328" s="61">
        <f>'35'!H309</f>
        <v>110000</v>
      </c>
      <c r="K328" s="61">
        <f>'35'!I309</f>
        <v>110000</v>
      </c>
      <c r="L328" s="61">
        <f>'35'!J309</f>
        <v>110000</v>
      </c>
    </row>
    <row r="329" spans="1:12" x14ac:dyDescent="0.2">
      <c r="A329" s="73"/>
      <c r="B329" s="80" t="s">
        <v>159</v>
      </c>
      <c r="D329" s="80">
        <f>'35'!A310</f>
        <v>130</v>
      </c>
      <c r="E329" s="81" t="str">
        <f>'35'!B310</f>
        <v>Scenic Flights</v>
      </c>
      <c r="G329" s="61">
        <f>'35'!E310</f>
        <v>45000</v>
      </c>
      <c r="H329" s="61">
        <f>'35'!F310</f>
        <v>150000</v>
      </c>
      <c r="I329" s="61">
        <f>'35'!G310</f>
        <v>95000</v>
      </c>
      <c r="J329" s="61">
        <f>'35'!H310</f>
        <v>150000</v>
      </c>
      <c r="K329" s="61">
        <f>'35'!I310</f>
        <v>150000</v>
      </c>
      <c r="L329" s="61">
        <f>'35'!J310</f>
        <v>150000</v>
      </c>
    </row>
    <row r="330" spans="1:12" x14ac:dyDescent="0.2">
      <c r="A330" s="73"/>
      <c r="B330" s="80" t="s">
        <v>159</v>
      </c>
      <c r="D330" s="80">
        <f>'35'!A311</f>
        <v>135</v>
      </c>
      <c r="E330" s="81" t="str">
        <f>'35'!B311</f>
        <v>Concessions Rental- Airport</v>
      </c>
      <c r="G330" s="61">
        <f>'35'!E311</f>
        <v>13950</v>
      </c>
      <c r="H330" s="61">
        <f>'35'!F311</f>
        <v>12000</v>
      </c>
      <c r="I330" s="61">
        <f>'35'!G311</f>
        <v>19200</v>
      </c>
      <c r="J330" s="61">
        <f>'35'!H311</f>
        <v>12000</v>
      </c>
      <c r="K330" s="61">
        <f>'35'!I311</f>
        <v>12000</v>
      </c>
      <c r="L330" s="61">
        <f>'35'!J311</f>
        <v>12000</v>
      </c>
    </row>
    <row r="331" spans="1:12" x14ac:dyDescent="0.2">
      <c r="A331" s="73"/>
      <c r="B331" s="80" t="s">
        <v>159</v>
      </c>
      <c r="D331" s="80">
        <f>'35'!A312</f>
        <v>160</v>
      </c>
      <c r="E331" s="81" t="str">
        <f>'35'!B312</f>
        <v>Navigational Charges</v>
      </c>
      <c r="G331" s="61">
        <f>'35'!E312</f>
        <v>51021</v>
      </c>
      <c r="H331" s="61">
        <f>'35'!F312</f>
        <v>50000</v>
      </c>
      <c r="I331" s="61">
        <f>'35'!G312</f>
        <v>56800</v>
      </c>
      <c r="J331" s="61">
        <f>'35'!H312</f>
        <v>50000</v>
      </c>
      <c r="K331" s="61">
        <f>'35'!I312</f>
        <v>50000</v>
      </c>
      <c r="L331" s="61">
        <f>'35'!J312</f>
        <v>50000</v>
      </c>
    </row>
    <row r="332" spans="1:12" x14ac:dyDescent="0.2">
      <c r="A332" s="73"/>
      <c r="B332" s="80" t="s">
        <v>163</v>
      </c>
      <c r="D332" s="80">
        <f>'35'!A380</f>
        <v>130</v>
      </c>
      <c r="E332" s="81" t="str">
        <f>'35'!B380</f>
        <v xml:space="preserve">Work Permit Fees                </v>
      </c>
      <c r="G332" s="61">
        <f>'35'!E380</f>
        <v>157925</v>
      </c>
      <c r="H332" s="61">
        <f>'35'!F380</f>
        <v>160000</v>
      </c>
      <c r="I332" s="61">
        <f>'35'!G380</f>
        <v>177100</v>
      </c>
      <c r="J332" s="61">
        <f>'35'!H380</f>
        <v>170000</v>
      </c>
      <c r="K332" s="61">
        <f>'35'!I380</f>
        <v>170000</v>
      </c>
      <c r="L332" s="61">
        <f>'35'!J380</f>
        <v>170000</v>
      </c>
    </row>
    <row r="333" spans="1:12" x14ac:dyDescent="0.2">
      <c r="A333" s="73"/>
      <c r="B333" s="80" t="s">
        <v>165</v>
      </c>
      <c r="D333" s="80" t="str">
        <f>'40'!A71</f>
        <v>120</v>
      </c>
      <c r="E333" s="81" t="str">
        <f>'40'!B71</f>
        <v xml:space="preserve">Student Permit Fees              </v>
      </c>
      <c r="G333" s="61">
        <f>'40'!E71</f>
        <v>5200</v>
      </c>
      <c r="H333" s="61">
        <f>'40'!F71</f>
        <v>0</v>
      </c>
      <c r="I333" s="61">
        <f>'40'!G71</f>
        <v>0</v>
      </c>
      <c r="J333" s="61">
        <f>'40'!H71</f>
        <v>0</v>
      </c>
      <c r="K333" s="61">
        <f>'40'!I71</f>
        <v>0</v>
      </c>
      <c r="L333" s="61">
        <f>'40'!J71</f>
        <v>0</v>
      </c>
    </row>
    <row r="334" spans="1:12" x14ac:dyDescent="0.2">
      <c r="A334" s="73"/>
      <c r="B334" s="80" t="s">
        <v>165</v>
      </c>
      <c r="D334" s="80" t="str">
        <f>'40'!A72</f>
        <v>122</v>
      </c>
      <c r="E334" s="81" t="str">
        <f>'40'!B72</f>
        <v xml:space="preserve">Universities &amp; Colleges     </v>
      </c>
      <c r="G334" s="61">
        <f>'40'!E72</f>
        <v>0</v>
      </c>
      <c r="H334" s="61">
        <f>'40'!F72</f>
        <v>0</v>
      </c>
      <c r="I334" s="61">
        <f>'40'!G72</f>
        <v>0</v>
      </c>
      <c r="J334" s="61">
        <f>'40'!H72</f>
        <v>0</v>
      </c>
      <c r="K334" s="61">
        <f>'40'!I72</f>
        <v>0</v>
      </c>
      <c r="L334" s="61">
        <f>'40'!J72</f>
        <v>0</v>
      </c>
    </row>
    <row r="335" spans="1:12" x14ac:dyDescent="0.2">
      <c r="A335" s="73"/>
      <c r="B335" s="80" t="s">
        <v>165</v>
      </c>
      <c r="D335" s="80">
        <f>'40'!A73</f>
        <v>135</v>
      </c>
      <c r="E335" s="81" t="str">
        <f>'40'!B73</f>
        <v>Miscellaneous Rents, Interest, Dividends</v>
      </c>
      <c r="G335" s="61">
        <f>'40'!E73</f>
        <v>0</v>
      </c>
      <c r="H335" s="61">
        <f>'40'!F73</f>
        <v>50000</v>
      </c>
      <c r="I335" s="61">
        <f>'40'!G73</f>
        <v>50000</v>
      </c>
      <c r="J335" s="61">
        <f>'40'!H73</f>
        <v>70000</v>
      </c>
      <c r="K335" s="61">
        <f>'40'!I73</f>
        <v>80000</v>
      </c>
      <c r="L335" s="61">
        <f>'40'!J73</f>
        <v>80000</v>
      </c>
    </row>
    <row r="336" spans="1:12" x14ac:dyDescent="0.2">
      <c r="A336" s="73"/>
      <c r="B336" s="80" t="s">
        <v>165</v>
      </c>
      <c r="D336" s="80">
        <f>'40'!A74</f>
        <v>160</v>
      </c>
      <c r="E336" s="81" t="str">
        <f>'40'!B74</f>
        <v xml:space="preserve">Nursery School Receipts  </v>
      </c>
      <c r="G336" s="61">
        <f>'40'!E74</f>
        <v>99155</v>
      </c>
      <c r="H336" s="61">
        <f>'40'!F74</f>
        <v>105000</v>
      </c>
      <c r="I336" s="61">
        <f>'40'!G74</f>
        <v>20000</v>
      </c>
      <c r="J336" s="61">
        <f>'40'!H74</f>
        <v>105000</v>
      </c>
      <c r="K336" s="61">
        <f>'40'!I74</f>
        <v>105000</v>
      </c>
      <c r="L336" s="61">
        <f>'40'!J74</f>
        <v>105000</v>
      </c>
    </row>
    <row r="337" spans="1:12" x14ac:dyDescent="0.2">
      <c r="A337" s="73"/>
      <c r="B337" s="80" t="s">
        <v>165</v>
      </c>
      <c r="D337" s="80">
        <f>'40'!A75</f>
        <v>160</v>
      </c>
      <c r="E337" s="81" t="str">
        <f>'40'!B75</f>
        <v>School Bus Repayments</v>
      </c>
      <c r="G337" s="61">
        <f>'40'!E75</f>
        <v>89500</v>
      </c>
      <c r="H337" s="61">
        <f>'40'!F75</f>
        <v>60000</v>
      </c>
      <c r="I337" s="61">
        <f>'40'!G75</f>
        <v>85100</v>
      </c>
      <c r="J337" s="61">
        <f>'40'!H75</f>
        <v>60000</v>
      </c>
      <c r="K337" s="61">
        <f>'40'!I75</f>
        <v>60000</v>
      </c>
      <c r="L337" s="61">
        <f>'40'!J75</f>
        <v>60000</v>
      </c>
    </row>
    <row r="338" spans="1:12" x14ac:dyDescent="0.2">
      <c r="A338" s="73"/>
      <c r="B338" s="80" t="s">
        <v>165</v>
      </c>
      <c r="D338" s="80">
        <f>'40'!A76</f>
        <v>160</v>
      </c>
      <c r="E338" s="81" t="str">
        <f>'40'!B76</f>
        <v xml:space="preserve">School Bus Receipts          </v>
      </c>
      <c r="G338" s="61">
        <f>'40'!E76</f>
        <v>90574.5</v>
      </c>
      <c r="H338" s="61">
        <f>'40'!F76</f>
        <v>80000</v>
      </c>
      <c r="I338" s="61">
        <f>'40'!G76</f>
        <v>85100</v>
      </c>
      <c r="J338" s="61">
        <f>'40'!H76</f>
        <v>80000</v>
      </c>
      <c r="K338" s="61">
        <f>'40'!I76</f>
        <v>80000</v>
      </c>
      <c r="L338" s="61">
        <f>'40'!J76</f>
        <v>80000</v>
      </c>
    </row>
    <row r="339" spans="1:12" x14ac:dyDescent="0.2">
      <c r="A339" s="73"/>
      <c r="B339" s="80" t="s">
        <v>165</v>
      </c>
      <c r="D339" s="80">
        <f>'40'!A77</f>
        <v>160</v>
      </c>
      <c r="E339" s="81" t="str">
        <f>'40'!B77</f>
        <v xml:space="preserve">School Feeding                    </v>
      </c>
      <c r="G339" s="61">
        <f>'40'!E77</f>
        <v>65777</v>
      </c>
      <c r="H339" s="61">
        <f>'40'!F77</f>
        <v>60000</v>
      </c>
      <c r="I339" s="61">
        <f>'40'!G77</f>
        <v>44200</v>
      </c>
      <c r="J339" s="61">
        <f>'40'!H77</f>
        <v>60000</v>
      </c>
      <c r="K339" s="61">
        <f>'40'!I77</f>
        <v>60000</v>
      </c>
      <c r="L339" s="61">
        <f>'40'!J77</f>
        <v>60000</v>
      </c>
    </row>
    <row r="340" spans="1:12" x14ac:dyDescent="0.2">
      <c r="A340" s="73"/>
      <c r="B340" s="80" t="s">
        <v>165</v>
      </c>
      <c r="D340" s="80">
        <f>'40'!A78</f>
        <v>160</v>
      </c>
      <c r="E340" s="81" t="str">
        <f>'40'!B78</f>
        <v>Library</v>
      </c>
      <c r="G340" s="61">
        <f>'40'!E78</f>
        <v>7094.2599999999993</v>
      </c>
      <c r="H340" s="61">
        <f>'40'!F78</f>
        <v>5000</v>
      </c>
      <c r="I340" s="61">
        <f>'40'!G78</f>
        <v>9200</v>
      </c>
      <c r="J340" s="61">
        <f>'40'!H78</f>
        <v>5000</v>
      </c>
      <c r="K340" s="61">
        <f>'40'!I78</f>
        <v>5000</v>
      </c>
      <c r="L340" s="61">
        <f>'40'!J78</f>
        <v>5000</v>
      </c>
    </row>
    <row r="341" spans="1:12" x14ac:dyDescent="0.2">
      <c r="A341" s="73"/>
      <c r="B341" s="80" t="s">
        <v>175</v>
      </c>
      <c r="D341" s="80">
        <f>'40'!A405</f>
        <v>160</v>
      </c>
      <c r="E341" s="81" t="str">
        <f>'40'!B405</f>
        <v>Annual Summer Workshop Receipts</v>
      </c>
      <c r="G341" s="61">
        <f>'40'!E405</f>
        <v>4901</v>
      </c>
      <c r="H341" s="61">
        <f>'40'!F405</f>
        <v>0</v>
      </c>
      <c r="I341" s="61">
        <f>'40'!G405</f>
        <v>0</v>
      </c>
      <c r="J341" s="61">
        <f>'40'!H405</f>
        <v>0</v>
      </c>
      <c r="K341" s="61">
        <f>'40'!I405</f>
        <v>0</v>
      </c>
      <c r="L341" s="61">
        <f>'40'!J405</f>
        <v>0</v>
      </c>
    </row>
    <row r="342" spans="1:12" s="82" customFormat="1" x14ac:dyDescent="0.2">
      <c r="A342" s="73"/>
      <c r="B342" s="80" t="s">
        <v>177</v>
      </c>
      <c r="C342" s="81"/>
      <c r="D342" s="80">
        <f>'45'!A65</f>
        <v>130</v>
      </c>
      <c r="E342" s="81" t="str">
        <f>'45'!B65</f>
        <v xml:space="preserve">Cemetery Dues </v>
      </c>
      <c r="F342" s="81"/>
      <c r="G342" s="61">
        <f>'45'!E65</f>
        <v>230</v>
      </c>
      <c r="H342" s="61">
        <f>'45'!F65</f>
        <v>800</v>
      </c>
      <c r="I342" s="61">
        <f>'45'!G65</f>
        <v>500</v>
      </c>
      <c r="J342" s="61">
        <f>'45'!H65</f>
        <v>800</v>
      </c>
      <c r="K342" s="61">
        <f>'45'!I65</f>
        <v>800</v>
      </c>
      <c r="L342" s="61">
        <f>'45'!J65</f>
        <v>800</v>
      </c>
    </row>
    <row r="343" spans="1:12" x14ac:dyDescent="0.2">
      <c r="A343" s="73"/>
      <c r="B343" s="80" t="s">
        <v>177</v>
      </c>
      <c r="D343" s="80">
        <f>'45'!A66</f>
        <v>160</v>
      </c>
      <c r="E343" s="81" t="str">
        <f>'45'!B66</f>
        <v xml:space="preserve">Hospital Receipts                </v>
      </c>
      <c r="G343" s="61">
        <f>'45'!E66</f>
        <v>349132.44000000006</v>
      </c>
      <c r="H343" s="61">
        <f>'45'!F66</f>
        <v>375000</v>
      </c>
      <c r="I343" s="61">
        <f>'45'!G66</f>
        <v>405400</v>
      </c>
      <c r="J343" s="61">
        <f>'45'!H66</f>
        <v>425000</v>
      </c>
      <c r="K343" s="61">
        <f>'45'!I66</f>
        <v>425000</v>
      </c>
      <c r="L343" s="61">
        <f>'45'!J66</f>
        <v>425000</v>
      </c>
    </row>
    <row r="344" spans="1:12" x14ac:dyDescent="0.2">
      <c r="A344" s="73"/>
      <c r="B344" s="80">
        <v>452</v>
      </c>
      <c r="D344" s="80">
        <f>'45'!A218</f>
        <v>160</v>
      </c>
      <c r="E344" s="80" t="str">
        <f>'45'!B218</f>
        <v>Hospital Receipts</v>
      </c>
      <c r="F344" s="80"/>
      <c r="G344" s="61">
        <f>'45'!E218</f>
        <v>1200</v>
      </c>
      <c r="H344" s="61">
        <f>'45'!F218</f>
        <v>0</v>
      </c>
      <c r="I344" s="61">
        <f>'45'!G218</f>
        <v>0</v>
      </c>
      <c r="J344" s="61">
        <f>'45'!H218</f>
        <v>0</v>
      </c>
      <c r="K344" s="61">
        <f>'45'!I218</f>
        <v>0</v>
      </c>
      <c r="L344" s="61">
        <f>'45'!J218</f>
        <v>0</v>
      </c>
    </row>
    <row r="345" spans="1:12" x14ac:dyDescent="0.2">
      <c r="A345" s="73"/>
      <c r="B345" s="80" t="s">
        <v>183</v>
      </c>
      <c r="D345" s="80">
        <f>'45'!A305</f>
        <v>145</v>
      </c>
      <c r="E345" s="81" t="str">
        <f>'45'!B305</f>
        <v>Reimbursments</v>
      </c>
      <c r="G345" s="61">
        <f>'45'!E305</f>
        <v>50257.04</v>
      </c>
      <c r="H345" s="61">
        <f>'45'!F305</f>
        <v>80000</v>
      </c>
      <c r="I345" s="61">
        <f>'45'!G305</f>
        <v>88000</v>
      </c>
      <c r="J345" s="61">
        <f>'45'!H305</f>
        <v>80000</v>
      </c>
      <c r="K345" s="61">
        <f>'45'!I305</f>
        <v>80000</v>
      </c>
      <c r="L345" s="61">
        <f>'45'!J305</f>
        <v>80000</v>
      </c>
    </row>
    <row r="346" spans="1:12" x14ac:dyDescent="0.2">
      <c r="A346" s="73"/>
      <c r="B346" s="50"/>
      <c r="C346" s="50"/>
      <c r="D346" s="78"/>
      <c r="E346" s="78" t="s">
        <v>32</v>
      </c>
      <c r="F346" s="49"/>
      <c r="G346" s="48">
        <f>SUM(G209:G345)</f>
        <v>121412905.28000003</v>
      </c>
      <c r="H346" s="48">
        <f t="shared" ref="H346:L346" si="29">SUM(H209:H345)</f>
        <v>128238300</v>
      </c>
      <c r="I346" s="48">
        <f t="shared" si="29"/>
        <v>121706600</v>
      </c>
      <c r="J346" s="48">
        <f t="shared" si="29"/>
        <v>125942800</v>
      </c>
      <c r="K346" s="48">
        <f t="shared" si="29"/>
        <v>125997800</v>
      </c>
      <c r="L346" s="48">
        <f t="shared" si="29"/>
        <v>126437700</v>
      </c>
    </row>
    <row r="347" spans="1:12" x14ac:dyDescent="0.2">
      <c r="A347" s="73"/>
      <c r="B347" s="50"/>
      <c r="C347" s="50"/>
      <c r="D347" s="78"/>
      <c r="E347" s="78"/>
      <c r="F347" s="49"/>
      <c r="G347" s="39"/>
      <c r="H347" s="39"/>
      <c r="I347" s="39"/>
      <c r="J347" s="39"/>
      <c r="K347" s="39"/>
      <c r="L347" s="39"/>
    </row>
    <row r="348" spans="1:12" x14ac:dyDescent="0.2">
      <c r="A348" s="73"/>
      <c r="B348" s="50"/>
      <c r="C348" s="50"/>
      <c r="D348" s="67" t="s">
        <v>192</v>
      </c>
      <c r="E348" s="67"/>
      <c r="F348" s="67"/>
      <c r="G348" s="67"/>
      <c r="H348" s="67"/>
      <c r="I348" s="67"/>
      <c r="J348" s="67"/>
      <c r="K348" s="67"/>
      <c r="L348" s="67"/>
    </row>
    <row r="349" spans="1:12" ht="34.5" thickBot="1" x14ac:dyDescent="0.25">
      <c r="A349" s="73"/>
      <c r="B349" s="68"/>
      <c r="C349" s="68"/>
      <c r="D349" s="69" t="s">
        <v>73</v>
      </c>
      <c r="E349" s="43"/>
      <c r="F349" s="68"/>
      <c r="G349" s="15" t="str">
        <f t="shared" ref="G349:L349" si="30">G25</f>
        <v>Actuals           2014-2015</v>
      </c>
      <c r="H349" s="15" t="str">
        <f t="shared" si="30"/>
        <v>Approved Estimates          2015-2016</v>
      </c>
      <c r="I349" s="15" t="str">
        <f t="shared" si="30"/>
        <v>Revised Estimates                 2015-2016</v>
      </c>
      <c r="J349" s="15" t="str">
        <f t="shared" si="30"/>
        <v>Budget Estimates      2016-2017</v>
      </c>
      <c r="K349" s="15" t="str">
        <f t="shared" si="30"/>
        <v>Forward Estimates     2017-2018</v>
      </c>
      <c r="L349" s="15" t="str">
        <f t="shared" si="30"/>
        <v>Forward Estimates     2018-2019</v>
      </c>
    </row>
    <row r="350" spans="1:12" x14ac:dyDescent="0.2">
      <c r="A350" s="73"/>
      <c r="B350" s="37" t="s">
        <v>85</v>
      </c>
      <c r="C350" s="50" t="s">
        <v>86</v>
      </c>
      <c r="D350" s="45"/>
      <c r="E350" s="45"/>
      <c r="F350" s="50"/>
      <c r="G350" s="72">
        <f>'05'!E77</f>
        <v>1201597.99</v>
      </c>
      <c r="H350" s="72">
        <f>'05'!F77</f>
        <v>1342300</v>
      </c>
      <c r="I350" s="72">
        <f>'05'!G77</f>
        <v>1326800</v>
      </c>
      <c r="J350" s="72">
        <f>'05'!H77</f>
        <v>1372800</v>
      </c>
      <c r="K350" s="72">
        <f>'05'!I77</f>
        <v>1400600</v>
      </c>
      <c r="L350" s="72">
        <f>'05'!J77</f>
        <v>1427000</v>
      </c>
    </row>
    <row r="351" spans="1:12" x14ac:dyDescent="0.2">
      <c r="A351" s="73"/>
      <c r="B351" s="37" t="s">
        <v>87</v>
      </c>
      <c r="C351" s="50" t="s">
        <v>88</v>
      </c>
      <c r="D351" s="45"/>
      <c r="E351" s="45"/>
      <c r="F351" s="50"/>
      <c r="G351" s="72">
        <f>'05'!E157</f>
        <v>4198588.96</v>
      </c>
      <c r="H351" s="72">
        <f>'05'!F157</f>
        <v>4577800</v>
      </c>
      <c r="I351" s="72">
        <f>'05'!G157</f>
        <v>4482200</v>
      </c>
      <c r="J351" s="72">
        <f>'05'!H157</f>
        <v>4715200</v>
      </c>
      <c r="K351" s="72">
        <f>'05'!I157</f>
        <v>4761300</v>
      </c>
      <c r="L351" s="72">
        <f>'05'!J157</f>
        <v>4842400</v>
      </c>
    </row>
    <row r="352" spans="1:12" x14ac:dyDescent="0.2">
      <c r="A352" s="73"/>
      <c r="B352" s="37" t="s">
        <v>89</v>
      </c>
      <c r="C352" s="50" t="s">
        <v>90</v>
      </c>
      <c r="D352" s="45"/>
      <c r="E352" s="45"/>
      <c r="F352" s="50"/>
      <c r="G352" s="72">
        <f>'05'!E230</f>
        <v>116976.57999999999</v>
      </c>
      <c r="H352" s="72">
        <f>'05'!F230</f>
        <v>131100</v>
      </c>
      <c r="I352" s="72">
        <f>'05'!G230</f>
        <v>135100</v>
      </c>
      <c r="J352" s="72">
        <f>'05'!H230</f>
        <v>178700</v>
      </c>
      <c r="K352" s="72">
        <f>'05'!I230</f>
        <v>178700</v>
      </c>
      <c r="L352" s="72">
        <f>'05'!J230</f>
        <v>178700</v>
      </c>
    </row>
    <row r="353" spans="1:12" x14ac:dyDescent="0.2">
      <c r="A353" s="73"/>
      <c r="B353" s="37" t="s">
        <v>91</v>
      </c>
      <c r="C353" s="50" t="s">
        <v>92</v>
      </c>
      <c r="D353" s="45"/>
      <c r="E353" s="45"/>
      <c r="F353" s="50"/>
      <c r="G353" s="72">
        <f>'07'!E77</f>
        <v>1655116.58</v>
      </c>
      <c r="H353" s="72">
        <f>'07'!F77</f>
        <v>1682700</v>
      </c>
      <c r="I353" s="72">
        <f>'07'!G77</f>
        <v>1551800</v>
      </c>
      <c r="J353" s="72">
        <f>'07'!H77</f>
        <v>1739100</v>
      </c>
      <c r="K353" s="72">
        <f>'07'!I77</f>
        <v>1768300</v>
      </c>
      <c r="L353" s="72">
        <f>'07'!J77</f>
        <v>1757000</v>
      </c>
    </row>
    <row r="354" spans="1:12" s="82" customFormat="1" x14ac:dyDescent="0.2">
      <c r="A354" s="73"/>
      <c r="B354" s="37" t="s">
        <v>93</v>
      </c>
      <c r="C354" s="50" t="s">
        <v>94</v>
      </c>
      <c r="D354" s="45"/>
      <c r="E354" s="45"/>
      <c r="F354" s="50"/>
      <c r="G354" s="72">
        <f>'08'!E70</f>
        <v>308218.84999999998</v>
      </c>
      <c r="H354" s="72">
        <f>'08'!F70</f>
        <v>330900</v>
      </c>
      <c r="I354" s="72">
        <f>'08'!G70</f>
        <v>309200</v>
      </c>
      <c r="J354" s="72">
        <f>'08'!H70</f>
        <v>339200</v>
      </c>
      <c r="K354" s="72">
        <f>'08'!I70</f>
        <v>359200</v>
      </c>
      <c r="L354" s="72">
        <f>'08'!J70</f>
        <v>341600</v>
      </c>
    </row>
    <row r="355" spans="1:12" s="82" customFormat="1" x14ac:dyDescent="0.2">
      <c r="A355" s="73"/>
      <c r="B355" s="37" t="s">
        <v>95</v>
      </c>
      <c r="C355" s="50" t="s">
        <v>96</v>
      </c>
      <c r="D355" s="45"/>
      <c r="E355" s="45"/>
      <c r="F355" s="50"/>
      <c r="G355" s="72">
        <f>'09'!E82</f>
        <v>656476.92999999993</v>
      </c>
      <c r="H355" s="72">
        <f>'09'!F82</f>
        <v>690300</v>
      </c>
      <c r="I355" s="72">
        <f>'09'!G82</f>
        <v>626500</v>
      </c>
      <c r="J355" s="72">
        <f>'09'!H82</f>
        <v>712900</v>
      </c>
      <c r="K355" s="72">
        <f>'09'!I82</f>
        <v>795400</v>
      </c>
      <c r="L355" s="72">
        <f>'09'!J82</f>
        <v>781900</v>
      </c>
    </row>
    <row r="356" spans="1:12" x14ac:dyDescent="0.2">
      <c r="A356" s="73"/>
      <c r="B356" s="37" t="s">
        <v>97</v>
      </c>
      <c r="C356" s="50" t="s">
        <v>98</v>
      </c>
      <c r="D356" s="45"/>
      <c r="E356" s="45"/>
      <c r="F356" s="50"/>
      <c r="G356" s="72">
        <f>'10'!E83</f>
        <v>832936.37999999989</v>
      </c>
      <c r="H356" s="72">
        <f>'10'!F83</f>
        <v>1006200</v>
      </c>
      <c r="I356" s="72">
        <f>'10'!G83</f>
        <v>1006200</v>
      </c>
      <c r="J356" s="72">
        <f>'10'!H83</f>
        <v>1022600</v>
      </c>
      <c r="K356" s="72">
        <f>'10'!I83</f>
        <v>1026700</v>
      </c>
      <c r="L356" s="72">
        <f>'10'!J83</f>
        <v>1029200</v>
      </c>
    </row>
    <row r="357" spans="1:12" x14ac:dyDescent="0.2">
      <c r="A357" s="73"/>
      <c r="B357" s="37" t="s">
        <v>99</v>
      </c>
      <c r="C357" s="50" t="s">
        <v>100</v>
      </c>
      <c r="D357" s="45"/>
      <c r="E357" s="45"/>
      <c r="F357" s="50"/>
      <c r="G357" s="72">
        <f>'10'!E147</f>
        <v>390245.91000000003</v>
      </c>
      <c r="H357" s="72">
        <f>'10'!F147</f>
        <v>319700</v>
      </c>
      <c r="I357" s="72">
        <f>'10'!G147</f>
        <v>319700</v>
      </c>
      <c r="J357" s="72">
        <f>'10'!H147</f>
        <v>282800</v>
      </c>
      <c r="K357" s="72">
        <f>'10'!I147</f>
        <v>291600</v>
      </c>
      <c r="L357" s="72">
        <f>'10'!J147</f>
        <v>286000</v>
      </c>
    </row>
    <row r="358" spans="1:12" x14ac:dyDescent="0.2">
      <c r="A358" s="73"/>
      <c r="B358" s="37" t="s">
        <v>101</v>
      </c>
      <c r="C358" s="50" t="s">
        <v>102</v>
      </c>
      <c r="D358" s="45"/>
      <c r="E358" s="45"/>
      <c r="F358" s="50"/>
      <c r="G358" s="72">
        <f>'10'!E210</f>
        <v>1084250.56</v>
      </c>
      <c r="H358" s="72">
        <f>'10'!F210</f>
        <v>1277300</v>
      </c>
      <c r="I358" s="72">
        <f>'10'!G210</f>
        <v>1277300</v>
      </c>
      <c r="J358" s="72">
        <f>'10'!H210</f>
        <v>0</v>
      </c>
      <c r="K358" s="72">
        <f>'10'!I210</f>
        <v>0</v>
      </c>
      <c r="L358" s="72">
        <f>'10'!J210</f>
        <v>0</v>
      </c>
    </row>
    <row r="359" spans="1:12" x14ac:dyDescent="0.2">
      <c r="A359" s="73"/>
      <c r="B359" s="37">
        <v>103</v>
      </c>
      <c r="C359" s="50" t="s">
        <v>103</v>
      </c>
      <c r="D359" s="45"/>
      <c r="E359" s="45"/>
      <c r="F359" s="50"/>
      <c r="G359" s="72">
        <f>'10'!E278</f>
        <v>124127.08</v>
      </c>
      <c r="H359" s="72">
        <f>'10'!F278</f>
        <v>170000</v>
      </c>
      <c r="I359" s="72">
        <f>'10'!G278</f>
        <v>170000</v>
      </c>
      <c r="J359" s="72">
        <f>'10'!H278</f>
        <v>168000</v>
      </c>
      <c r="K359" s="72">
        <f>'10'!I278</f>
        <v>168000</v>
      </c>
      <c r="L359" s="72">
        <f>'10'!J278</f>
        <v>168000</v>
      </c>
    </row>
    <row r="360" spans="1:12" x14ac:dyDescent="0.2">
      <c r="A360" s="73"/>
      <c r="B360" s="37">
        <v>110</v>
      </c>
      <c r="C360" s="50" t="s">
        <v>45</v>
      </c>
      <c r="D360" s="45"/>
      <c r="E360" s="45"/>
      <c r="F360" s="50"/>
      <c r="G360" s="72">
        <f>'11'!E77</f>
        <v>0</v>
      </c>
      <c r="H360" s="72">
        <f>'11'!F77</f>
        <v>0</v>
      </c>
      <c r="I360" s="72">
        <f>'11'!G77</f>
        <v>0</v>
      </c>
      <c r="J360" s="72">
        <f>'11'!H77</f>
        <v>1258000</v>
      </c>
      <c r="K360" s="72">
        <f>'11'!I77</f>
        <v>1305900</v>
      </c>
      <c r="L360" s="72">
        <f>'11'!J77</f>
        <v>1316700</v>
      </c>
    </row>
    <row r="361" spans="1:12" s="82" customFormat="1" x14ac:dyDescent="0.2">
      <c r="A361" s="73"/>
      <c r="B361" s="37" t="s">
        <v>104</v>
      </c>
      <c r="C361" s="50" t="s">
        <v>105</v>
      </c>
      <c r="D361" s="45"/>
      <c r="E361" s="45"/>
      <c r="F361" s="50"/>
      <c r="G361" s="72">
        <f>'12'!E103</f>
        <v>16337968.9</v>
      </c>
      <c r="H361" s="72">
        <f>'12'!F103</f>
        <v>15407800</v>
      </c>
      <c r="I361" s="72">
        <f>'12'!G103</f>
        <v>14999700</v>
      </c>
      <c r="J361" s="72">
        <f>'12'!H103</f>
        <v>14131700</v>
      </c>
      <c r="K361" s="72">
        <f>'12'!I103</f>
        <v>14105700</v>
      </c>
      <c r="L361" s="72">
        <f>'12'!J103</f>
        <v>14111700</v>
      </c>
    </row>
    <row r="362" spans="1:12" x14ac:dyDescent="0.2">
      <c r="A362" s="73"/>
      <c r="B362" s="37" t="s">
        <v>106</v>
      </c>
      <c r="C362" s="50" t="s">
        <v>107</v>
      </c>
      <c r="D362" s="45"/>
      <c r="E362" s="45"/>
      <c r="F362" s="50"/>
      <c r="G362" s="72">
        <f>'12'!E184</f>
        <v>3232119.4699999997</v>
      </c>
      <c r="H362" s="72">
        <f>'12'!F184</f>
        <v>6913600</v>
      </c>
      <c r="I362" s="72">
        <f>'12'!G184</f>
        <v>6562200</v>
      </c>
      <c r="J362" s="72">
        <f>'12'!H184</f>
        <v>7943800</v>
      </c>
      <c r="K362" s="72">
        <f>'12'!I184</f>
        <v>8119300</v>
      </c>
      <c r="L362" s="72">
        <f>'12'!J184</f>
        <v>8134600</v>
      </c>
    </row>
    <row r="363" spans="1:12" x14ac:dyDescent="0.2">
      <c r="A363" s="73"/>
      <c r="B363" s="37" t="s">
        <v>108</v>
      </c>
      <c r="C363" s="50" t="s">
        <v>109</v>
      </c>
      <c r="D363" s="45"/>
      <c r="E363" s="45"/>
      <c r="F363" s="50"/>
      <c r="G363" s="72">
        <f>'12'!E252</f>
        <v>1126938.5499999998</v>
      </c>
      <c r="H363" s="72">
        <f>'12'!F252</f>
        <v>1141600</v>
      </c>
      <c r="I363" s="72">
        <f>'12'!G252</f>
        <v>1179500</v>
      </c>
      <c r="J363" s="72">
        <f>'12'!H252</f>
        <v>1243700</v>
      </c>
      <c r="K363" s="72">
        <f>'12'!I252</f>
        <v>1263000</v>
      </c>
      <c r="L363" s="72">
        <f>'12'!J252</f>
        <v>1289400</v>
      </c>
    </row>
    <row r="364" spans="1:12" x14ac:dyDescent="0.2">
      <c r="A364" s="73"/>
      <c r="B364" s="37" t="s">
        <v>110</v>
      </c>
      <c r="C364" s="50" t="s">
        <v>111</v>
      </c>
      <c r="D364" s="45"/>
      <c r="E364" s="45"/>
      <c r="F364" s="50"/>
      <c r="G364" s="72">
        <f>'12'!E321</f>
        <v>61825.65</v>
      </c>
      <c r="H364" s="72">
        <f>'12'!F321</f>
        <v>92000</v>
      </c>
      <c r="I364" s="72">
        <f>'12'!G321</f>
        <v>91900</v>
      </c>
      <c r="J364" s="72">
        <f>'12'!H321</f>
        <v>96200</v>
      </c>
      <c r="K364" s="72">
        <f>'12'!I321</f>
        <v>98500</v>
      </c>
      <c r="L364" s="72">
        <f>'12'!J321</f>
        <v>101500</v>
      </c>
    </row>
    <row r="365" spans="1:12" x14ac:dyDescent="0.2">
      <c r="A365" s="73"/>
      <c r="B365" s="37" t="s">
        <v>112</v>
      </c>
      <c r="C365" s="50" t="s">
        <v>113</v>
      </c>
      <c r="D365" s="45"/>
      <c r="E365" s="45"/>
      <c r="F365" s="50"/>
      <c r="G365" s="72">
        <f>'12'!E387</f>
        <v>7160670.7499999991</v>
      </c>
      <c r="H365" s="72">
        <f>'12'!F387</f>
        <v>7852400</v>
      </c>
      <c r="I365" s="72">
        <f>'12'!G387</f>
        <v>7506000</v>
      </c>
      <c r="J365" s="72">
        <f>'12'!H387</f>
        <v>7644800</v>
      </c>
      <c r="K365" s="72">
        <f>'12'!I387</f>
        <v>7648600</v>
      </c>
      <c r="L365" s="72">
        <f>'12'!J387</f>
        <v>7653900</v>
      </c>
    </row>
    <row r="366" spans="1:12" x14ac:dyDescent="0.2">
      <c r="A366" s="73"/>
      <c r="B366" s="37" t="s">
        <v>114</v>
      </c>
      <c r="C366" s="50" t="s">
        <v>115</v>
      </c>
      <c r="D366" s="45"/>
      <c r="E366" s="45"/>
      <c r="F366" s="50"/>
      <c r="G366" s="72">
        <f>'12'!E451</f>
        <v>303576.12</v>
      </c>
      <c r="H366" s="72">
        <f>'12'!F451</f>
        <v>331700</v>
      </c>
      <c r="I366" s="72">
        <f>'12'!G451</f>
        <v>307900</v>
      </c>
      <c r="J366" s="72">
        <f>'12'!H451</f>
        <v>327700</v>
      </c>
      <c r="K366" s="72">
        <f>'12'!I451</f>
        <v>338600</v>
      </c>
      <c r="L366" s="72">
        <f>'12'!J451</f>
        <v>330800</v>
      </c>
    </row>
    <row r="367" spans="1:12" x14ac:dyDescent="0.2">
      <c r="A367" s="73"/>
      <c r="B367" s="37" t="s">
        <v>116</v>
      </c>
      <c r="C367" s="50" t="s">
        <v>47</v>
      </c>
      <c r="D367" s="45"/>
      <c r="E367" s="45"/>
      <c r="F367" s="50"/>
      <c r="G367" s="72">
        <f>'13'!E81</f>
        <v>529178.82000000007</v>
      </c>
      <c r="H367" s="72">
        <f>'13'!F81</f>
        <v>629700</v>
      </c>
      <c r="I367" s="72">
        <f>'13'!G81</f>
        <v>524300</v>
      </c>
      <c r="J367" s="72">
        <f>'13'!H81</f>
        <v>649200</v>
      </c>
      <c r="K367" s="72">
        <f>'13'!I81</f>
        <v>677100</v>
      </c>
      <c r="L367" s="72">
        <f>'13'!J81</f>
        <v>681200</v>
      </c>
    </row>
    <row r="368" spans="1:12" x14ac:dyDescent="0.2">
      <c r="A368" s="73"/>
      <c r="B368" s="37" t="s">
        <v>117</v>
      </c>
      <c r="C368" s="50" t="s">
        <v>118</v>
      </c>
      <c r="D368" s="45"/>
      <c r="E368" s="45"/>
      <c r="F368" s="50"/>
      <c r="G368" s="72">
        <f>'15'!E98</f>
        <v>3805143.2800000003</v>
      </c>
      <c r="H368" s="72">
        <f>'15'!F98</f>
        <v>3576100</v>
      </c>
      <c r="I368" s="72">
        <f>'15'!G98</f>
        <v>4107300</v>
      </c>
      <c r="J368" s="72">
        <f>'15'!H98</f>
        <v>4201400</v>
      </c>
      <c r="K368" s="72">
        <f>'15'!I98</f>
        <v>4205800</v>
      </c>
      <c r="L368" s="72">
        <f>'15'!J98</f>
        <v>4210200</v>
      </c>
    </row>
    <row r="369" spans="1:12" x14ac:dyDescent="0.2">
      <c r="A369" s="73"/>
      <c r="B369" s="37">
        <v>152</v>
      </c>
      <c r="C369" s="50" t="s">
        <v>119</v>
      </c>
      <c r="D369" s="45"/>
      <c r="E369" s="45"/>
      <c r="F369" s="50"/>
      <c r="G369" s="72">
        <f>'15'!E175</f>
        <v>0</v>
      </c>
      <c r="H369" s="72">
        <f>'15'!F175</f>
        <v>1114400</v>
      </c>
      <c r="I369" s="72">
        <f>'15'!G175</f>
        <v>1038000</v>
      </c>
      <c r="J369" s="72">
        <f>'15'!H175</f>
        <v>1158800</v>
      </c>
      <c r="K369" s="72">
        <f>'15'!I175</f>
        <v>1113300</v>
      </c>
      <c r="L369" s="72">
        <f>'15'!J175</f>
        <v>1118700</v>
      </c>
    </row>
    <row r="370" spans="1:12" x14ac:dyDescent="0.2">
      <c r="A370" s="73"/>
      <c r="B370" s="37" t="s">
        <v>120</v>
      </c>
      <c r="C370" s="50" t="s">
        <v>193</v>
      </c>
      <c r="D370" s="45"/>
      <c r="E370" s="45"/>
      <c r="F370" s="50"/>
      <c r="G370" s="72">
        <f>'15'!E241</f>
        <v>7240372.5</v>
      </c>
      <c r="H370" s="72">
        <f>'15'!F241</f>
        <v>5539100</v>
      </c>
      <c r="I370" s="72">
        <f>'15'!G241</f>
        <v>5520400</v>
      </c>
      <c r="J370" s="72">
        <f>'15'!H241</f>
        <v>4295400</v>
      </c>
      <c r="K370" s="72">
        <f>'15'!I241</f>
        <v>4319800</v>
      </c>
      <c r="L370" s="72">
        <f>'15'!J241</f>
        <v>4319800</v>
      </c>
    </row>
    <row r="371" spans="1:12" x14ac:dyDescent="0.2">
      <c r="A371" s="73"/>
      <c r="B371" s="37">
        <v>154</v>
      </c>
      <c r="C371" s="50" t="s">
        <v>122</v>
      </c>
      <c r="D371" s="45"/>
      <c r="E371" s="45"/>
      <c r="F371" s="50"/>
      <c r="G371" s="72">
        <f>'15'!E301</f>
        <v>0</v>
      </c>
      <c r="H371" s="72">
        <f>'15'!F301</f>
        <v>385900</v>
      </c>
      <c r="I371" s="72">
        <f>'15'!G301</f>
        <v>306800</v>
      </c>
      <c r="J371" s="72">
        <f>'15'!H301</f>
        <v>305000</v>
      </c>
      <c r="K371" s="72">
        <f>'15'!I301</f>
        <v>338500</v>
      </c>
      <c r="L371" s="72">
        <f>'15'!J301</f>
        <v>326400</v>
      </c>
    </row>
    <row r="372" spans="1:12" x14ac:dyDescent="0.2">
      <c r="A372" s="73"/>
      <c r="B372" s="37">
        <v>155</v>
      </c>
      <c r="C372" s="50" t="s">
        <v>123</v>
      </c>
      <c r="D372" s="45"/>
      <c r="E372" s="45"/>
      <c r="F372" s="50"/>
      <c r="G372" s="72">
        <f>'15'!E361</f>
        <v>0</v>
      </c>
      <c r="H372" s="72">
        <f>'15'!F361</f>
        <v>1849500</v>
      </c>
      <c r="I372" s="72">
        <f>'15'!G361</f>
        <v>1786200</v>
      </c>
      <c r="J372" s="72">
        <f>'15'!H361</f>
        <v>1796900</v>
      </c>
      <c r="K372" s="72">
        <f>'15'!I361</f>
        <v>1838300</v>
      </c>
      <c r="L372" s="72">
        <f>'15'!J361</f>
        <v>1844900</v>
      </c>
    </row>
    <row r="373" spans="1:12" x14ac:dyDescent="0.2">
      <c r="A373" s="73"/>
      <c r="B373" s="37" t="s">
        <v>124</v>
      </c>
      <c r="C373" s="50" t="s">
        <v>49</v>
      </c>
      <c r="D373" s="45"/>
      <c r="E373" s="45"/>
      <c r="F373" s="50"/>
      <c r="G373" s="72">
        <f>'17'!E96</f>
        <v>793675.53</v>
      </c>
      <c r="H373" s="72">
        <f>'17'!F96</f>
        <v>0</v>
      </c>
      <c r="I373" s="72">
        <f>'17'!G96</f>
        <v>0</v>
      </c>
      <c r="J373" s="72">
        <f>'17'!H96</f>
        <v>0</v>
      </c>
      <c r="K373" s="72">
        <f>'17'!I96</f>
        <v>0</v>
      </c>
      <c r="L373" s="72">
        <f>'17'!J96</f>
        <v>0</v>
      </c>
    </row>
    <row r="374" spans="1:12" x14ac:dyDescent="0.2">
      <c r="A374" s="73"/>
      <c r="B374" s="37" t="s">
        <v>125</v>
      </c>
      <c r="C374" s="50" t="s">
        <v>122</v>
      </c>
      <c r="D374" s="45"/>
      <c r="E374" s="45"/>
      <c r="F374" s="50"/>
      <c r="G374" s="72">
        <f>'17'!E153</f>
        <v>237799.58</v>
      </c>
      <c r="H374" s="72">
        <f>'17'!F153</f>
        <v>0</v>
      </c>
      <c r="I374" s="72">
        <f>'17'!G153</f>
        <v>0</v>
      </c>
      <c r="J374" s="72">
        <f>'17'!H153</f>
        <v>0</v>
      </c>
      <c r="K374" s="72">
        <f>'17'!I153</f>
        <v>0</v>
      </c>
      <c r="L374" s="72">
        <f>'17'!J153</f>
        <v>0</v>
      </c>
    </row>
    <row r="375" spans="1:12" x14ac:dyDescent="0.2">
      <c r="A375" s="73"/>
      <c r="B375" s="37" t="s">
        <v>126</v>
      </c>
      <c r="C375" s="50" t="s">
        <v>123</v>
      </c>
      <c r="D375" s="45"/>
      <c r="E375" s="45"/>
      <c r="F375" s="50"/>
      <c r="G375" s="72">
        <f>'17'!E211</f>
        <v>1825549.73</v>
      </c>
      <c r="H375" s="72">
        <f>'17'!F211</f>
        <v>0</v>
      </c>
      <c r="I375" s="72">
        <f>'17'!G211</f>
        <v>0</v>
      </c>
      <c r="J375" s="72">
        <f>'17'!H211</f>
        <v>0</v>
      </c>
      <c r="K375" s="72">
        <f>'17'!I211</f>
        <v>0</v>
      </c>
      <c r="L375" s="72">
        <f>'17'!J211</f>
        <v>0</v>
      </c>
    </row>
    <row r="376" spans="1:12" x14ac:dyDescent="0.2">
      <c r="A376" s="73"/>
      <c r="B376" s="37" t="s">
        <v>127</v>
      </c>
      <c r="C376" s="50" t="s">
        <v>119</v>
      </c>
      <c r="D376" s="45"/>
      <c r="E376" s="45"/>
      <c r="F376" s="50"/>
      <c r="G376" s="72">
        <f>'17'!E276</f>
        <v>969649.8600000001</v>
      </c>
      <c r="H376" s="72">
        <f>'17'!F276</f>
        <v>0</v>
      </c>
      <c r="I376" s="72">
        <f>'17'!G276</f>
        <v>0</v>
      </c>
      <c r="J376" s="72">
        <f>'17'!H276</f>
        <v>0</v>
      </c>
      <c r="K376" s="72">
        <f>'17'!I276</f>
        <v>0</v>
      </c>
      <c r="L376" s="72">
        <f>'17'!J276</f>
        <v>0</v>
      </c>
    </row>
    <row r="377" spans="1:12" x14ac:dyDescent="0.2">
      <c r="A377" s="73"/>
      <c r="B377" s="37" t="s">
        <v>128</v>
      </c>
      <c r="C377" s="50" t="s">
        <v>129</v>
      </c>
      <c r="D377" s="45"/>
      <c r="E377" s="45"/>
      <c r="F377" s="50"/>
      <c r="G377" s="72">
        <f>'20'!E116</f>
        <v>7421233.0600000005</v>
      </c>
      <c r="H377" s="72">
        <f>'20'!F116</f>
        <v>2028100</v>
      </c>
      <c r="I377" s="72">
        <f>'20'!G116</f>
        <v>1839900</v>
      </c>
      <c r="J377" s="72">
        <f>'20'!H116</f>
        <v>2568700</v>
      </c>
      <c r="K377" s="72">
        <f>'20'!I116</f>
        <v>2233800</v>
      </c>
      <c r="L377" s="72">
        <f>'20'!J116</f>
        <v>2236400</v>
      </c>
    </row>
    <row r="378" spans="1:12" x14ac:dyDescent="0.2">
      <c r="A378" s="73"/>
      <c r="B378" s="37" t="s">
        <v>130</v>
      </c>
      <c r="C378" s="50" t="s">
        <v>131</v>
      </c>
      <c r="D378" s="45"/>
      <c r="E378" s="45"/>
      <c r="F378" s="50"/>
      <c r="G378" s="72">
        <f>'20'!E195</f>
        <v>3808782.5999999996</v>
      </c>
      <c r="H378" s="72">
        <f>'20'!F195</f>
        <v>5601300</v>
      </c>
      <c r="I378" s="72">
        <f>'20'!G195</f>
        <v>3520400</v>
      </c>
      <c r="J378" s="72">
        <f>'20'!H195</f>
        <v>3480000</v>
      </c>
      <c r="K378" s="72">
        <f>'20'!I195</f>
        <v>3738900</v>
      </c>
      <c r="L378" s="72">
        <f>'20'!J195</f>
        <v>3743600</v>
      </c>
    </row>
    <row r="379" spans="1:12" x14ac:dyDescent="0.2">
      <c r="A379" s="73"/>
      <c r="B379" s="37" t="s">
        <v>132</v>
      </c>
      <c r="C379" s="50" t="s">
        <v>133</v>
      </c>
      <c r="D379" s="45"/>
      <c r="E379" s="45"/>
      <c r="F379" s="50"/>
      <c r="G379" s="72">
        <f>'20'!E281</f>
        <v>449951.24</v>
      </c>
      <c r="H379" s="72">
        <f>'20'!F281</f>
        <v>769000</v>
      </c>
      <c r="I379" s="72">
        <f>'20'!G281</f>
        <v>611600</v>
      </c>
      <c r="J379" s="72">
        <f>'20'!H281</f>
        <v>765900</v>
      </c>
      <c r="K379" s="72">
        <f>'20'!I281</f>
        <v>795000</v>
      </c>
      <c r="L379" s="72">
        <f>'20'!J281</f>
        <v>799700</v>
      </c>
    </row>
    <row r="380" spans="1:12" x14ac:dyDescent="0.2">
      <c r="A380" s="73"/>
      <c r="B380" s="37" t="s">
        <v>134</v>
      </c>
      <c r="C380" s="50" t="s">
        <v>135</v>
      </c>
      <c r="D380" s="45"/>
      <c r="E380" s="45"/>
      <c r="F380" s="50"/>
      <c r="G380" s="72">
        <f>'20'!E364</f>
        <v>924298.91</v>
      </c>
      <c r="H380" s="72">
        <f>'20'!F364</f>
        <v>1043600</v>
      </c>
      <c r="I380" s="72">
        <f>'20'!G364</f>
        <v>1013700</v>
      </c>
      <c r="J380" s="72">
        <f>'20'!H364</f>
        <v>1024100</v>
      </c>
      <c r="K380" s="72">
        <f>'20'!I364</f>
        <v>1070700</v>
      </c>
      <c r="L380" s="72">
        <f>'20'!J364</f>
        <v>1083000</v>
      </c>
    </row>
    <row r="381" spans="1:12" x14ac:dyDescent="0.2">
      <c r="A381" s="73"/>
      <c r="B381" s="37" t="s">
        <v>136</v>
      </c>
      <c r="C381" s="50" t="s">
        <v>137</v>
      </c>
      <c r="D381" s="45"/>
      <c r="E381" s="45"/>
      <c r="F381" s="50"/>
      <c r="G381" s="72">
        <f>'20'!E446</f>
        <v>3500733.2199999997</v>
      </c>
      <c r="H381" s="72">
        <f>'20'!F446</f>
        <v>3846900</v>
      </c>
      <c r="I381" s="72">
        <f>'20'!G446</f>
        <v>3849200</v>
      </c>
      <c r="J381" s="72">
        <f>'20'!H446</f>
        <v>3925800</v>
      </c>
      <c r="K381" s="72">
        <f>'20'!I446</f>
        <v>4040300</v>
      </c>
      <c r="L381" s="72">
        <f>'20'!J446</f>
        <v>4068800</v>
      </c>
    </row>
    <row r="382" spans="1:12" x14ac:dyDescent="0.2">
      <c r="A382" s="73"/>
      <c r="B382" s="37" t="s">
        <v>138</v>
      </c>
      <c r="C382" s="50" t="s">
        <v>139</v>
      </c>
      <c r="D382" s="45"/>
      <c r="E382" s="45"/>
      <c r="F382" s="50"/>
      <c r="G382" s="72">
        <f>'20'!E530</f>
        <v>452592.75000000006</v>
      </c>
      <c r="H382" s="72">
        <f>'20'!F530</f>
        <v>516900</v>
      </c>
      <c r="I382" s="72">
        <f>'20'!G530</f>
        <v>488300</v>
      </c>
      <c r="J382" s="72">
        <f>'20'!H530</f>
        <v>507500</v>
      </c>
      <c r="K382" s="72">
        <f>'20'!I530</f>
        <v>526900</v>
      </c>
      <c r="L382" s="72">
        <f>'20'!J530</f>
        <v>531100</v>
      </c>
    </row>
    <row r="383" spans="1:12" x14ac:dyDescent="0.2">
      <c r="A383" s="73"/>
      <c r="B383" s="37">
        <v>208</v>
      </c>
      <c r="C383" s="50" t="s">
        <v>140</v>
      </c>
      <c r="D383" s="45"/>
      <c r="E383" s="45"/>
      <c r="F383" s="50"/>
      <c r="G383" s="72">
        <f>'20'!E589</f>
        <v>350506.06</v>
      </c>
      <c r="H383" s="72">
        <f>'20'!F589</f>
        <v>412500</v>
      </c>
      <c r="I383" s="72">
        <f>'20'!G589</f>
        <v>355100</v>
      </c>
      <c r="J383" s="72">
        <f>'20'!H589</f>
        <v>389800</v>
      </c>
      <c r="K383" s="72">
        <f>'20'!I589</f>
        <v>424300</v>
      </c>
      <c r="L383" s="72">
        <f>'20'!J589</f>
        <v>447800</v>
      </c>
    </row>
    <row r="384" spans="1:12" s="82" customFormat="1" x14ac:dyDescent="0.2">
      <c r="A384" s="73"/>
      <c r="B384" s="74" t="s">
        <v>141</v>
      </c>
      <c r="C384" s="50" t="s">
        <v>142</v>
      </c>
      <c r="D384" s="45"/>
      <c r="E384" s="45"/>
      <c r="F384" s="50"/>
      <c r="G384" s="72">
        <f>'30'!E118</f>
        <v>1102644.25</v>
      </c>
      <c r="H384" s="72">
        <f>'30'!F118</f>
        <v>1315700</v>
      </c>
      <c r="I384" s="72">
        <f>'30'!G118</f>
        <v>1215600</v>
      </c>
      <c r="J384" s="72">
        <f>'30'!H118</f>
        <v>1661100</v>
      </c>
      <c r="K384" s="72">
        <f>'30'!I118</f>
        <v>1669500</v>
      </c>
      <c r="L384" s="72">
        <f>'30'!J118</f>
        <v>1676900</v>
      </c>
    </row>
    <row r="385" spans="1:12" x14ac:dyDescent="0.2">
      <c r="A385" s="73"/>
      <c r="B385" s="74" t="s">
        <v>143</v>
      </c>
      <c r="C385" s="50" t="s">
        <v>144</v>
      </c>
      <c r="D385" s="45"/>
      <c r="E385" s="45"/>
      <c r="F385" s="50"/>
      <c r="G385" s="72">
        <f>'30'!E196</f>
        <v>1453525.54</v>
      </c>
      <c r="H385" s="72">
        <f>'30'!F196</f>
        <v>1701700</v>
      </c>
      <c r="I385" s="72">
        <f>'30'!G196</f>
        <v>1615800</v>
      </c>
      <c r="J385" s="72">
        <f>'30'!H196</f>
        <v>1678000</v>
      </c>
      <c r="K385" s="72">
        <f>'30'!I196</f>
        <v>1697500</v>
      </c>
      <c r="L385" s="72">
        <f>'30'!J196</f>
        <v>1693000</v>
      </c>
    </row>
    <row r="386" spans="1:12" x14ac:dyDescent="0.2">
      <c r="A386" s="73"/>
      <c r="B386" s="74" t="s">
        <v>145</v>
      </c>
      <c r="C386" s="50" t="s">
        <v>146</v>
      </c>
      <c r="D386" s="45"/>
      <c r="E386" s="45"/>
      <c r="F386" s="50"/>
      <c r="G386" s="72">
        <f>'30'!E273</f>
        <v>508021.33</v>
      </c>
      <c r="H386" s="72">
        <f>'30'!F273</f>
        <v>765600</v>
      </c>
      <c r="I386" s="72">
        <f>'30'!G273</f>
        <v>735100</v>
      </c>
      <c r="J386" s="72">
        <f>'30'!H273</f>
        <v>702100</v>
      </c>
      <c r="K386" s="72">
        <f>'30'!I273</f>
        <v>785200</v>
      </c>
      <c r="L386" s="72">
        <f>'30'!J273</f>
        <v>795500</v>
      </c>
    </row>
    <row r="387" spans="1:12" x14ac:dyDescent="0.2">
      <c r="A387" s="73"/>
      <c r="B387" s="74" t="s">
        <v>147</v>
      </c>
      <c r="C387" s="50" t="s">
        <v>148</v>
      </c>
      <c r="D387" s="45"/>
      <c r="E387" s="45"/>
      <c r="F387" s="50"/>
      <c r="G387" s="72">
        <f>'30'!E341</f>
        <v>485943.09</v>
      </c>
      <c r="H387" s="72">
        <f>'30'!F341</f>
        <v>594000</v>
      </c>
      <c r="I387" s="72">
        <f>'30'!G341</f>
        <v>591000</v>
      </c>
      <c r="J387" s="72">
        <f>'30'!H341</f>
        <v>651000</v>
      </c>
      <c r="K387" s="72">
        <f>'30'!I341</f>
        <v>674000</v>
      </c>
      <c r="L387" s="72">
        <f>'30'!J341</f>
        <v>683300</v>
      </c>
    </row>
    <row r="388" spans="1:12" x14ac:dyDescent="0.2">
      <c r="A388" s="73"/>
      <c r="B388" s="74" t="s">
        <v>149</v>
      </c>
      <c r="C388" s="50" t="s">
        <v>150</v>
      </c>
      <c r="D388" s="45"/>
      <c r="E388" s="45"/>
      <c r="F388" s="50"/>
      <c r="G388" s="72">
        <f>'30'!E409</f>
        <v>888811.44</v>
      </c>
      <c r="H388" s="72">
        <f>'30'!F409</f>
        <v>869900</v>
      </c>
      <c r="I388" s="72">
        <f>'30'!G409</f>
        <v>869900</v>
      </c>
      <c r="J388" s="72">
        <f>'30'!H409</f>
        <v>946300</v>
      </c>
      <c r="K388" s="72">
        <f>'30'!I409</f>
        <v>983100</v>
      </c>
      <c r="L388" s="72">
        <f>'30'!J409</f>
        <v>952500</v>
      </c>
    </row>
    <row r="389" spans="1:12" x14ac:dyDescent="0.2">
      <c r="A389" s="73"/>
      <c r="B389" s="74" t="s">
        <v>151</v>
      </c>
      <c r="C389" s="50" t="s">
        <v>152</v>
      </c>
      <c r="D389" s="45"/>
      <c r="E389" s="45"/>
      <c r="F389" s="50"/>
      <c r="G389" s="72">
        <f>'30'!E475</f>
        <v>409829</v>
      </c>
      <c r="H389" s="72">
        <f>'30'!F475</f>
        <v>580600</v>
      </c>
      <c r="I389" s="72">
        <f>'30'!G475</f>
        <v>505300</v>
      </c>
      <c r="J389" s="72">
        <f>'30'!H475</f>
        <v>566800</v>
      </c>
      <c r="K389" s="72">
        <f>'30'!I475</f>
        <v>595600</v>
      </c>
      <c r="L389" s="72">
        <f>'30'!J475</f>
        <v>601000</v>
      </c>
    </row>
    <row r="390" spans="1:12" x14ac:dyDescent="0.2">
      <c r="A390" s="73"/>
      <c r="B390" s="74">
        <v>306</v>
      </c>
      <c r="C390" s="50" t="s">
        <v>153</v>
      </c>
      <c r="D390" s="45"/>
      <c r="E390" s="45"/>
      <c r="F390" s="50"/>
      <c r="G390" s="72">
        <f>'30'!E542</f>
        <v>0</v>
      </c>
      <c r="H390" s="72">
        <f>'30'!F542</f>
        <v>176300</v>
      </c>
      <c r="I390" s="72">
        <f>'30'!G542</f>
        <v>152700</v>
      </c>
      <c r="J390" s="72">
        <f>'30'!H542</f>
        <v>212800</v>
      </c>
      <c r="K390" s="72">
        <f>'30'!I542</f>
        <v>244600</v>
      </c>
      <c r="L390" s="72">
        <f>'30'!J542</f>
        <v>247800</v>
      </c>
    </row>
    <row r="391" spans="1:12" x14ac:dyDescent="0.2">
      <c r="A391" s="73"/>
      <c r="B391" s="74" t="s">
        <v>154</v>
      </c>
      <c r="C391" s="50" t="s">
        <v>118</v>
      </c>
      <c r="D391" s="45"/>
      <c r="E391" s="45"/>
      <c r="F391" s="50"/>
      <c r="G391" s="72">
        <f>'35'!E114</f>
        <v>8441079.8100000005</v>
      </c>
      <c r="H391" s="72">
        <f>'35'!F114</f>
        <v>9607400</v>
      </c>
      <c r="I391" s="72">
        <f>'35'!G114</f>
        <v>8855600</v>
      </c>
      <c r="J391" s="72">
        <f>'35'!H114</f>
        <v>8643100</v>
      </c>
      <c r="K391" s="72">
        <f>'35'!I114</f>
        <v>8660200</v>
      </c>
      <c r="L391" s="72">
        <f>'35'!J114</f>
        <v>8677400</v>
      </c>
    </row>
    <row r="392" spans="1:12" x14ac:dyDescent="0.2">
      <c r="A392" s="73"/>
      <c r="B392" s="74" t="s">
        <v>155</v>
      </c>
      <c r="C392" s="50" t="s">
        <v>156</v>
      </c>
      <c r="D392" s="45"/>
      <c r="E392" s="45"/>
      <c r="F392" s="50"/>
      <c r="G392" s="72">
        <f>'35'!E190</f>
        <v>5108911.91</v>
      </c>
      <c r="H392" s="72">
        <f>'35'!F190</f>
        <v>5413100</v>
      </c>
      <c r="I392" s="72">
        <f>'35'!G190</f>
        <v>5378100</v>
      </c>
      <c r="J392" s="72">
        <f>'35'!H190</f>
        <v>5431400</v>
      </c>
      <c r="K392" s="72">
        <f>'35'!I190</f>
        <v>5496200</v>
      </c>
      <c r="L392" s="72">
        <f>'35'!J190</f>
        <v>5527400</v>
      </c>
    </row>
    <row r="393" spans="1:12" x14ac:dyDescent="0.2">
      <c r="A393" s="73"/>
      <c r="B393" s="74" t="s">
        <v>157</v>
      </c>
      <c r="C393" s="50" t="s">
        <v>158</v>
      </c>
      <c r="D393" s="45"/>
      <c r="E393" s="45"/>
      <c r="F393" s="50"/>
      <c r="G393" s="72">
        <f>'35'!E261</f>
        <v>3109760.19</v>
      </c>
      <c r="H393" s="72">
        <f>'35'!F261</f>
        <v>3278800</v>
      </c>
      <c r="I393" s="72">
        <f>'35'!G261</f>
        <v>3169800</v>
      </c>
      <c r="J393" s="72">
        <f>'35'!H261</f>
        <v>3204700</v>
      </c>
      <c r="K393" s="72">
        <f>'35'!I261</f>
        <v>3238700</v>
      </c>
      <c r="L393" s="72">
        <f>'35'!J261</f>
        <v>3267000</v>
      </c>
    </row>
    <row r="394" spans="1:12" x14ac:dyDescent="0.2">
      <c r="A394" s="73"/>
      <c r="B394" s="74" t="s">
        <v>159</v>
      </c>
      <c r="C394" s="50" t="s">
        <v>160</v>
      </c>
      <c r="D394" s="45"/>
      <c r="E394" s="45"/>
      <c r="F394" s="50"/>
      <c r="G394" s="72">
        <f>'35'!E334</f>
        <v>2441692.84</v>
      </c>
      <c r="H394" s="72">
        <f>'35'!F334</f>
        <v>2126200</v>
      </c>
      <c r="I394" s="72">
        <f>'35'!G334</f>
        <v>2041600</v>
      </c>
      <c r="J394" s="72">
        <f>'35'!H334</f>
        <v>2137300</v>
      </c>
      <c r="K394" s="72">
        <f>'35'!I334</f>
        <v>2175900</v>
      </c>
      <c r="L394" s="72">
        <f>'35'!J334</f>
        <v>2203800</v>
      </c>
    </row>
    <row r="395" spans="1:12" s="82" customFormat="1" hidden="1" x14ac:dyDescent="0.2">
      <c r="A395" s="73"/>
      <c r="B395" s="74" t="s">
        <v>161</v>
      </c>
      <c r="C395" s="50" t="s">
        <v>162</v>
      </c>
      <c r="D395" s="45"/>
      <c r="E395" s="45"/>
      <c r="F395" s="50"/>
      <c r="G395" s="71"/>
      <c r="H395" s="71"/>
      <c r="I395" s="71"/>
      <c r="J395" s="71"/>
      <c r="K395" s="71"/>
      <c r="L395" s="71"/>
    </row>
    <row r="396" spans="1:12" x14ac:dyDescent="0.2">
      <c r="A396" s="73"/>
      <c r="B396" s="74" t="s">
        <v>163</v>
      </c>
      <c r="C396" s="50" t="s">
        <v>164</v>
      </c>
      <c r="D396" s="45"/>
      <c r="E396" s="45"/>
      <c r="F396" s="50"/>
      <c r="G396" s="72">
        <f>'35'!E398</f>
        <v>265594.98</v>
      </c>
      <c r="H396" s="72">
        <f>'35'!F398</f>
        <v>285400</v>
      </c>
      <c r="I396" s="72">
        <f>'35'!G398</f>
        <v>272900</v>
      </c>
      <c r="J396" s="72">
        <f>'35'!H398</f>
        <v>294900</v>
      </c>
      <c r="K396" s="72">
        <f>'35'!I398</f>
        <v>300900</v>
      </c>
      <c r="L396" s="72">
        <f>'35'!J398</f>
        <v>307000</v>
      </c>
    </row>
    <row r="397" spans="1:12" x14ac:dyDescent="0.2">
      <c r="A397" s="73"/>
      <c r="B397" s="74" t="s">
        <v>165</v>
      </c>
      <c r="C397" s="50" t="s">
        <v>166</v>
      </c>
      <c r="D397" s="45"/>
      <c r="E397" s="45"/>
      <c r="F397" s="50"/>
      <c r="G397" s="72">
        <f>'40'!E106</f>
        <v>1962281.7700000003</v>
      </c>
      <c r="H397" s="72">
        <f>'40'!F106</f>
        <v>2874000</v>
      </c>
      <c r="I397" s="72">
        <f>'40'!G106</f>
        <v>2939000</v>
      </c>
      <c r="J397" s="72">
        <f>'40'!H106</f>
        <v>3350400</v>
      </c>
      <c r="K397" s="72">
        <f>'40'!I106</f>
        <v>3343400</v>
      </c>
      <c r="L397" s="72">
        <f>'40'!J106</f>
        <v>3355300</v>
      </c>
    </row>
    <row r="398" spans="1:12" x14ac:dyDescent="0.2">
      <c r="A398" s="73"/>
      <c r="B398" s="74" t="s">
        <v>167</v>
      </c>
      <c r="C398" s="50" t="s">
        <v>168</v>
      </c>
      <c r="D398" s="45"/>
      <c r="E398" s="45"/>
      <c r="F398" s="50"/>
      <c r="G398" s="72">
        <f>'40'!E172</f>
        <v>1331028.27</v>
      </c>
      <c r="H398" s="72">
        <f>'40'!F172</f>
        <v>1475900</v>
      </c>
      <c r="I398" s="72">
        <f>'40'!G172</f>
        <v>1485900</v>
      </c>
      <c r="J398" s="72">
        <f>'40'!H172</f>
        <v>1627400</v>
      </c>
      <c r="K398" s="72">
        <f>'40'!I172</f>
        <v>1662700</v>
      </c>
      <c r="L398" s="72">
        <f>'40'!J172</f>
        <v>1698000</v>
      </c>
    </row>
    <row r="399" spans="1:12" x14ac:dyDescent="0.2">
      <c r="A399" s="73"/>
      <c r="B399" s="74" t="s">
        <v>169</v>
      </c>
      <c r="C399" s="50" t="s">
        <v>170</v>
      </c>
      <c r="D399" s="45"/>
      <c r="E399" s="45"/>
      <c r="F399" s="50"/>
      <c r="G399" s="72">
        <f>'40'!E236</f>
        <v>2694173.19</v>
      </c>
      <c r="H399" s="72">
        <f>'40'!F236</f>
        <v>2937800</v>
      </c>
      <c r="I399" s="72">
        <f>'40'!G236</f>
        <v>2795100</v>
      </c>
      <c r="J399" s="72">
        <f>'40'!H236</f>
        <v>3166600</v>
      </c>
      <c r="K399" s="72">
        <f>'40'!I236</f>
        <v>3298400</v>
      </c>
      <c r="L399" s="72">
        <f>'40'!J236</f>
        <v>3299700</v>
      </c>
    </row>
    <row r="400" spans="1:12" x14ac:dyDescent="0.2">
      <c r="A400" s="73"/>
      <c r="B400" s="76" t="s">
        <v>171</v>
      </c>
      <c r="C400" s="50" t="s">
        <v>172</v>
      </c>
      <c r="D400" s="45"/>
      <c r="E400" s="45"/>
      <c r="F400" s="50"/>
      <c r="G400" s="72">
        <f>'40'!E306</f>
        <v>300977.73</v>
      </c>
      <c r="H400" s="72">
        <f>'40'!F306</f>
        <v>355100</v>
      </c>
      <c r="I400" s="72">
        <f>'40'!G306</f>
        <v>368100</v>
      </c>
      <c r="J400" s="72">
        <f>'40'!H306</f>
        <v>363200</v>
      </c>
      <c r="K400" s="72">
        <f>'40'!I306</f>
        <v>367000</v>
      </c>
      <c r="L400" s="72">
        <f>'40'!J306</f>
        <v>371300</v>
      </c>
    </row>
    <row r="401" spans="1:12" x14ac:dyDescent="0.2">
      <c r="A401" s="73"/>
      <c r="B401" s="37" t="s">
        <v>173</v>
      </c>
      <c r="C401" s="50" t="s">
        <v>174</v>
      </c>
      <c r="D401" s="45"/>
      <c r="E401" s="45"/>
      <c r="F401" s="50"/>
      <c r="G401" s="72">
        <f>'40'!E365</f>
        <v>814729.4</v>
      </c>
      <c r="H401" s="72">
        <f>'40'!F365</f>
        <v>871200</v>
      </c>
      <c r="I401" s="72">
        <f>'40'!G365</f>
        <v>889200</v>
      </c>
      <c r="J401" s="72">
        <f>'40'!H365</f>
        <v>889800</v>
      </c>
      <c r="K401" s="72">
        <f>'40'!I365</f>
        <v>901900</v>
      </c>
      <c r="L401" s="72">
        <f>'40'!J365</f>
        <v>911600</v>
      </c>
    </row>
    <row r="402" spans="1:12" x14ac:dyDescent="0.2">
      <c r="A402" s="73"/>
      <c r="B402" s="37" t="s">
        <v>175</v>
      </c>
      <c r="C402" s="50" t="s">
        <v>176</v>
      </c>
      <c r="D402" s="45"/>
      <c r="E402" s="45"/>
      <c r="F402" s="50"/>
      <c r="G402" s="72">
        <f>'40'!E432</f>
        <v>1287491.82</v>
      </c>
      <c r="H402" s="72">
        <f>'40'!F432</f>
        <v>1463000</v>
      </c>
      <c r="I402" s="72">
        <f>'40'!G432</f>
        <v>1457000</v>
      </c>
      <c r="J402" s="72">
        <f>'40'!H432</f>
        <v>1479900</v>
      </c>
      <c r="K402" s="72">
        <f>'40'!I432</f>
        <v>1481900</v>
      </c>
      <c r="L402" s="72">
        <f>'40'!J432</f>
        <v>1484100</v>
      </c>
    </row>
    <row r="403" spans="1:12" x14ac:dyDescent="0.2">
      <c r="A403" s="73"/>
      <c r="B403" s="74" t="s">
        <v>177</v>
      </c>
      <c r="C403" s="50" t="s">
        <v>178</v>
      </c>
      <c r="D403" s="45"/>
      <c r="E403" s="45"/>
      <c r="F403" s="50"/>
      <c r="G403" s="72">
        <f>'45'!E92</f>
        <v>783629.69</v>
      </c>
      <c r="H403" s="72">
        <f>'45'!F92</f>
        <v>5070600</v>
      </c>
      <c r="I403" s="72">
        <f>'45'!G92</f>
        <v>4648800</v>
      </c>
      <c r="J403" s="72">
        <f>'45'!H92</f>
        <v>3288800</v>
      </c>
      <c r="K403" s="72">
        <f>'45'!I92</f>
        <v>1099700</v>
      </c>
      <c r="L403" s="72">
        <f>'45'!J92</f>
        <v>1106800</v>
      </c>
    </row>
    <row r="404" spans="1:12" x14ac:dyDescent="0.2">
      <c r="A404" s="73"/>
      <c r="B404" s="74" t="s">
        <v>179</v>
      </c>
      <c r="C404" s="50" t="s">
        <v>180</v>
      </c>
      <c r="D404" s="45"/>
      <c r="E404" s="45"/>
      <c r="F404" s="50"/>
      <c r="G404" s="72">
        <f>'45'!E158</f>
        <v>1966043.26</v>
      </c>
      <c r="H404" s="72">
        <f>'45'!F158</f>
        <v>2210600</v>
      </c>
      <c r="I404" s="72">
        <f>'45'!G158</f>
        <v>2010500</v>
      </c>
      <c r="J404" s="72">
        <f>'45'!H158</f>
        <v>2341300</v>
      </c>
      <c r="K404" s="72">
        <f>'45'!I158</f>
        <v>2444100</v>
      </c>
      <c r="L404" s="72">
        <f>'45'!J158</f>
        <v>2447200</v>
      </c>
    </row>
    <row r="405" spans="1:12" x14ac:dyDescent="0.2">
      <c r="A405" s="73"/>
      <c r="B405" s="74" t="s">
        <v>181</v>
      </c>
      <c r="C405" s="50" t="s">
        <v>182</v>
      </c>
      <c r="D405" s="45"/>
      <c r="E405" s="45"/>
      <c r="F405" s="50"/>
      <c r="G405" s="72">
        <f>'45'!E241</f>
        <v>6989221.6800000006</v>
      </c>
      <c r="H405" s="72">
        <f>'45'!F241</f>
        <v>6972000</v>
      </c>
      <c r="I405" s="72">
        <f>'45'!G241</f>
        <v>7722700</v>
      </c>
      <c r="J405" s="72">
        <f>'45'!H241</f>
        <v>8325500</v>
      </c>
      <c r="K405" s="72">
        <f>'45'!I241</f>
        <v>8432000</v>
      </c>
      <c r="L405" s="72">
        <f>'45'!J241</f>
        <v>8343000</v>
      </c>
    </row>
    <row r="406" spans="1:12" x14ac:dyDescent="0.2">
      <c r="A406" s="73"/>
      <c r="B406" s="74" t="s">
        <v>183</v>
      </c>
      <c r="C406" s="50" t="s">
        <v>184</v>
      </c>
      <c r="D406" s="45"/>
      <c r="E406" s="45"/>
      <c r="F406" s="50"/>
      <c r="G406" s="83">
        <f>'45'!E333</f>
        <v>4642219.5</v>
      </c>
      <c r="H406" s="83">
        <f>'45'!F333</f>
        <v>5269300</v>
      </c>
      <c r="I406" s="83">
        <f>'45'!G333</f>
        <v>5253500</v>
      </c>
      <c r="J406" s="83">
        <f>'45'!H333</f>
        <v>5862600</v>
      </c>
      <c r="K406" s="83">
        <f>'45'!I333</f>
        <v>5980100</v>
      </c>
      <c r="L406" s="83">
        <f>'45'!J333</f>
        <v>6091500</v>
      </c>
    </row>
    <row r="407" spans="1:12" x14ac:dyDescent="0.2">
      <c r="A407" s="73"/>
      <c r="B407" s="74" t="s">
        <v>185</v>
      </c>
      <c r="C407" s="50" t="s">
        <v>186</v>
      </c>
      <c r="D407" s="45"/>
      <c r="E407" s="45"/>
      <c r="F407" s="77"/>
      <c r="G407" s="84">
        <f>'45'!E402</f>
        <v>1588168.61</v>
      </c>
      <c r="H407" s="84">
        <f>'45'!F402</f>
        <v>1443700</v>
      </c>
      <c r="I407" s="84">
        <f>'45'!G402</f>
        <v>1442100</v>
      </c>
      <c r="J407" s="84">
        <f>'45'!H402</f>
        <v>1532100</v>
      </c>
      <c r="K407" s="84">
        <f>'45'!I402</f>
        <v>1513100</v>
      </c>
      <c r="L407" s="84">
        <f>'45'!J402</f>
        <v>1534600</v>
      </c>
    </row>
    <row r="408" spans="1:12" ht="13.5" thickBot="1" x14ac:dyDescent="0.25">
      <c r="A408" s="73"/>
      <c r="B408" s="50"/>
      <c r="C408" s="50"/>
      <c r="D408" s="78" t="s">
        <v>16</v>
      </c>
      <c r="E408" s="49"/>
      <c r="F408" s="49"/>
      <c r="G408" s="48">
        <f t="shared" ref="G408:L408" si="31">SUM(G350:G407)</f>
        <v>119676881.7</v>
      </c>
      <c r="H408" s="48">
        <f t="shared" si="31"/>
        <v>128238300</v>
      </c>
      <c r="I408" s="48">
        <f t="shared" si="31"/>
        <v>123228500</v>
      </c>
      <c r="J408" s="48">
        <f t="shared" si="31"/>
        <v>126602800</v>
      </c>
      <c r="K408" s="48">
        <f t="shared" si="31"/>
        <v>125997800</v>
      </c>
      <c r="L408" s="48">
        <f t="shared" si="31"/>
        <v>126437700</v>
      </c>
    </row>
    <row r="409" spans="1:12" x14ac:dyDescent="0.2">
      <c r="A409" s="73"/>
      <c r="B409" s="78"/>
      <c r="C409" s="78"/>
      <c r="D409" s="49"/>
      <c r="E409" s="47"/>
      <c r="F409" s="49"/>
      <c r="G409" s="79"/>
      <c r="H409" s="79"/>
      <c r="I409" s="79"/>
      <c r="J409" s="79"/>
      <c r="K409" s="79"/>
      <c r="L409" s="79"/>
    </row>
    <row r="410" spans="1:12" s="82" customFormat="1" x14ac:dyDescent="0.2">
      <c r="A410" s="73"/>
      <c r="B410" s="50"/>
      <c r="C410" s="50"/>
      <c r="D410" s="50"/>
      <c r="E410" s="50"/>
      <c r="F410" s="50"/>
      <c r="G410" s="40"/>
      <c r="H410" s="40"/>
      <c r="I410" s="41"/>
      <c r="J410" s="41"/>
      <c r="K410" s="41"/>
      <c r="L410" s="41"/>
    </row>
    <row r="411" spans="1:12" x14ac:dyDescent="0.2">
      <c r="A411" s="73"/>
      <c r="B411" s="85"/>
      <c r="C411" s="85"/>
      <c r="D411" s="85"/>
      <c r="E411" s="86" t="s">
        <v>194</v>
      </c>
      <c r="F411" s="86"/>
      <c r="G411" s="57" t="s">
        <v>195</v>
      </c>
      <c r="H411" s="57" t="s">
        <v>196</v>
      </c>
      <c r="I411" s="57" t="s">
        <v>197</v>
      </c>
      <c r="J411" s="57" t="s">
        <v>198</v>
      </c>
      <c r="K411" s="57" t="s">
        <v>199</v>
      </c>
      <c r="L411" s="57" t="s">
        <v>200</v>
      </c>
    </row>
    <row r="412" spans="1:12" x14ac:dyDescent="0.2">
      <c r="A412" s="73"/>
      <c r="B412" s="37" t="s">
        <v>36</v>
      </c>
      <c r="C412" s="37"/>
      <c r="D412" s="50" t="s">
        <v>58</v>
      </c>
      <c r="E412" s="50"/>
      <c r="F412" s="50"/>
      <c r="G412" s="72">
        <f>'05'!H38</f>
        <v>4277100</v>
      </c>
      <c r="H412" s="72">
        <f>'05'!H39</f>
        <v>0</v>
      </c>
      <c r="I412" s="72">
        <f>'05'!H40</f>
        <v>697300</v>
      </c>
      <c r="J412" s="72">
        <f>'05'!H41</f>
        <v>0</v>
      </c>
      <c r="K412" s="72">
        <f>'05'!H42</f>
        <v>1292300</v>
      </c>
      <c r="L412" s="72">
        <f t="shared" ref="L412:L426" si="32">SUM(G412:K412)</f>
        <v>6266700</v>
      </c>
    </row>
    <row r="413" spans="1:12" x14ac:dyDescent="0.2">
      <c r="A413" s="73"/>
      <c r="B413" s="37" t="s">
        <v>38</v>
      </c>
      <c r="C413" s="37"/>
      <c r="D413" s="50" t="s">
        <v>39</v>
      </c>
      <c r="E413" s="50"/>
      <c r="F413" s="50"/>
      <c r="G413" s="72">
        <f>'07'!H33</f>
        <v>855400</v>
      </c>
      <c r="H413" s="72">
        <f>'07'!H34</f>
        <v>0</v>
      </c>
      <c r="I413" s="72">
        <f>'07'!H35</f>
        <v>614900</v>
      </c>
      <c r="J413" s="72">
        <f>'07'!H36</f>
        <v>0</v>
      </c>
      <c r="K413" s="72">
        <f>'07'!H37</f>
        <v>268800</v>
      </c>
      <c r="L413" s="72">
        <f t="shared" si="32"/>
        <v>1739100</v>
      </c>
    </row>
    <row r="414" spans="1:12" x14ac:dyDescent="0.2">
      <c r="A414" s="73"/>
      <c r="B414" s="37" t="s">
        <v>40</v>
      </c>
      <c r="C414" s="37"/>
      <c r="D414" s="50" t="s">
        <v>59</v>
      </c>
      <c r="E414" s="50"/>
      <c r="F414" s="50"/>
      <c r="G414" s="72">
        <f>'08'!H30</f>
        <v>188700</v>
      </c>
      <c r="H414" s="72">
        <f>'08'!H31</f>
        <v>0</v>
      </c>
      <c r="I414" s="72">
        <f>'08'!H32</f>
        <v>100300</v>
      </c>
      <c r="J414" s="72">
        <f>'08'!H33</f>
        <v>0</v>
      </c>
      <c r="K414" s="72">
        <f>'08'!H34</f>
        <v>50200</v>
      </c>
      <c r="L414" s="72">
        <f t="shared" si="32"/>
        <v>339200</v>
      </c>
    </row>
    <row r="415" spans="1:12" s="82" customFormat="1" x14ac:dyDescent="0.2">
      <c r="A415" s="73"/>
      <c r="B415" s="37" t="s">
        <v>42</v>
      </c>
      <c r="C415" s="37"/>
      <c r="D415" s="50" t="s">
        <v>43</v>
      </c>
      <c r="E415" s="50"/>
      <c r="F415" s="50"/>
      <c r="G415" s="72">
        <f>'09'!H33</f>
        <v>413600</v>
      </c>
      <c r="H415" s="72">
        <f>'09'!H34</f>
        <v>0</v>
      </c>
      <c r="I415" s="72">
        <f>'09'!H35</f>
        <v>127500</v>
      </c>
      <c r="J415" s="72">
        <f>'09'!H36</f>
        <v>0</v>
      </c>
      <c r="K415" s="72">
        <f>'09'!H37</f>
        <v>171800</v>
      </c>
      <c r="L415" s="72">
        <f t="shared" si="32"/>
        <v>712900</v>
      </c>
    </row>
    <row r="416" spans="1:12" s="82" customFormat="1" x14ac:dyDescent="0.2">
      <c r="A416" s="73"/>
      <c r="B416" s="37">
        <v>10</v>
      </c>
      <c r="C416" s="37"/>
      <c r="D416" s="50" t="s">
        <v>44</v>
      </c>
      <c r="E416" s="50"/>
      <c r="F416" s="50"/>
      <c r="G416" s="72">
        <f>'10'!H36</f>
        <v>716300</v>
      </c>
      <c r="H416" s="72">
        <f>'10'!H37</f>
        <v>164800</v>
      </c>
      <c r="I416" s="72">
        <f>'10'!H38</f>
        <v>194800</v>
      </c>
      <c r="J416" s="72">
        <f>'10'!H39</f>
        <v>0</v>
      </c>
      <c r="K416" s="72">
        <f>'10'!H40</f>
        <v>397500</v>
      </c>
      <c r="L416" s="72">
        <f t="shared" si="32"/>
        <v>1473400</v>
      </c>
    </row>
    <row r="417" spans="1:12" x14ac:dyDescent="0.2">
      <c r="A417" s="73"/>
      <c r="B417" s="37">
        <v>11</v>
      </c>
      <c r="C417" s="37"/>
      <c r="D417" s="50" t="s">
        <v>45</v>
      </c>
      <c r="E417" s="50"/>
      <c r="F417" s="50"/>
      <c r="G417" s="72">
        <f>'11'!H30</f>
        <v>732500</v>
      </c>
      <c r="H417" s="72">
        <f>'11'!H31</f>
        <v>11000</v>
      </c>
      <c r="I417" s="72">
        <f>'11'!H32</f>
        <v>202000</v>
      </c>
      <c r="J417" s="72">
        <f>'11'!H33</f>
        <v>56500</v>
      </c>
      <c r="K417" s="72">
        <f>'11'!H34</f>
        <v>256000</v>
      </c>
      <c r="L417" s="72">
        <f t="shared" si="32"/>
        <v>1258000</v>
      </c>
    </row>
    <row r="418" spans="1:12" x14ac:dyDescent="0.2">
      <c r="A418" s="73"/>
      <c r="B418" s="37">
        <v>12</v>
      </c>
      <c r="C418" s="37"/>
      <c r="D418" s="50" t="s">
        <v>46</v>
      </c>
      <c r="E418" s="50"/>
      <c r="F418" s="50"/>
      <c r="G418" s="72">
        <f>'12'!H55</f>
        <v>2854900</v>
      </c>
      <c r="H418" s="72">
        <f>'12'!H56</f>
        <v>106400</v>
      </c>
      <c r="I418" s="72">
        <f>'12'!H57</f>
        <v>429100</v>
      </c>
      <c r="J418" s="72">
        <f>'12'!H58</f>
        <v>11095800</v>
      </c>
      <c r="K418" s="72">
        <f>'12'!H59</f>
        <v>16901700</v>
      </c>
      <c r="L418" s="72">
        <f t="shared" si="32"/>
        <v>31387900</v>
      </c>
    </row>
    <row r="419" spans="1:12" x14ac:dyDescent="0.2">
      <c r="A419" s="73"/>
      <c r="B419" s="37">
        <v>13</v>
      </c>
      <c r="C419" s="37"/>
      <c r="D419" s="50" t="s">
        <v>47</v>
      </c>
      <c r="E419" s="50"/>
      <c r="F419" s="50"/>
      <c r="G419" s="72">
        <f>'13'!H34</f>
        <v>319500</v>
      </c>
      <c r="H419" s="72">
        <f>'13'!H35</f>
        <v>0</v>
      </c>
      <c r="I419" s="72">
        <f>'13'!H36</f>
        <v>237600</v>
      </c>
      <c r="J419" s="72">
        <f>'13'!H37</f>
        <v>0</v>
      </c>
      <c r="K419" s="72">
        <f>'13'!H38</f>
        <v>92100</v>
      </c>
      <c r="L419" s="72">
        <f t="shared" si="32"/>
        <v>649200</v>
      </c>
    </row>
    <row r="420" spans="1:12" s="82" customFormat="1" x14ac:dyDescent="0.2">
      <c r="A420" s="73"/>
      <c r="B420" s="37">
        <v>15</v>
      </c>
      <c r="C420" s="37"/>
      <c r="D420" s="50" t="s">
        <v>48</v>
      </c>
      <c r="E420" s="50"/>
      <c r="F420" s="50"/>
      <c r="G420" s="72">
        <f>'15'!H42</f>
        <v>2235900</v>
      </c>
      <c r="H420" s="72">
        <f>'15'!H43</f>
        <v>55300</v>
      </c>
      <c r="I420" s="72">
        <f>'15'!H44</f>
        <v>457400</v>
      </c>
      <c r="J420" s="72">
        <f>'15'!H45</f>
        <v>18400</v>
      </c>
      <c r="K420" s="72">
        <f>'15'!H46</f>
        <v>8990500</v>
      </c>
      <c r="L420" s="72">
        <f t="shared" si="32"/>
        <v>11757500</v>
      </c>
    </row>
    <row r="421" spans="1:12" x14ac:dyDescent="0.2">
      <c r="A421" s="73"/>
      <c r="B421" s="37">
        <v>17</v>
      </c>
      <c r="C421" s="37"/>
      <c r="D421" s="50" t="s">
        <v>49</v>
      </c>
      <c r="E421" s="50"/>
      <c r="F421" s="50"/>
      <c r="G421" s="72">
        <f>'17'!H49</f>
        <v>0</v>
      </c>
      <c r="H421" s="72">
        <f>'17'!H50</f>
        <v>0</v>
      </c>
      <c r="I421" s="72">
        <f>'17'!H51</f>
        <v>0</v>
      </c>
      <c r="J421" s="72">
        <f>'17'!H52</f>
        <v>0</v>
      </c>
      <c r="K421" s="72">
        <f>'17'!H53</f>
        <v>0</v>
      </c>
      <c r="L421" s="72">
        <f t="shared" si="32"/>
        <v>0</v>
      </c>
    </row>
    <row r="422" spans="1:12" s="82" customFormat="1" x14ac:dyDescent="0.2">
      <c r="A422" s="73"/>
      <c r="B422" s="37">
        <v>20</v>
      </c>
      <c r="C422" s="37"/>
      <c r="D422" s="50" t="s">
        <v>50</v>
      </c>
      <c r="E422" s="50"/>
      <c r="F422" s="50"/>
      <c r="G422" s="72">
        <f>'20'!H47</f>
        <v>4244300</v>
      </c>
      <c r="H422" s="72">
        <f>'20'!H48</f>
        <v>0</v>
      </c>
      <c r="I422" s="72">
        <f>'20'!H49</f>
        <v>821200</v>
      </c>
      <c r="J422" s="72">
        <f>'20'!H50</f>
        <v>0</v>
      </c>
      <c r="K422" s="72">
        <f>'20'!H51</f>
        <v>7596300</v>
      </c>
      <c r="L422" s="72">
        <f t="shared" si="32"/>
        <v>12661800</v>
      </c>
    </row>
    <row r="423" spans="1:12" x14ac:dyDescent="0.2">
      <c r="A423" s="73"/>
      <c r="B423" s="37">
        <v>30</v>
      </c>
      <c r="C423" s="37"/>
      <c r="D423" s="50" t="s">
        <v>51</v>
      </c>
      <c r="E423" s="50"/>
      <c r="F423" s="50"/>
      <c r="G423" s="72">
        <f>'30'!H60</f>
        <v>3613700</v>
      </c>
      <c r="H423" s="72">
        <f>'30'!H61</f>
        <v>19200</v>
      </c>
      <c r="I423" s="72">
        <f>'30'!H62</f>
        <v>638200</v>
      </c>
      <c r="J423" s="72">
        <f>'30'!H63</f>
        <v>36200</v>
      </c>
      <c r="K423" s="72">
        <f>'30'!H64</f>
        <v>2110800</v>
      </c>
      <c r="L423" s="72">
        <f t="shared" si="32"/>
        <v>6418100</v>
      </c>
    </row>
    <row r="424" spans="1:12" ht="13.5" customHeight="1" x14ac:dyDescent="0.2">
      <c r="A424" s="73"/>
      <c r="B424" s="37">
        <v>35</v>
      </c>
      <c r="C424" s="37"/>
      <c r="D424" s="50" t="s">
        <v>52</v>
      </c>
      <c r="E424" s="50"/>
      <c r="F424" s="50"/>
      <c r="G424" s="72">
        <f>'35'!H44</f>
        <v>5859300</v>
      </c>
      <c r="H424" s="72">
        <f>'35'!H45</f>
        <v>0</v>
      </c>
      <c r="I424" s="72">
        <f>'35'!H46</f>
        <v>962400</v>
      </c>
      <c r="J424" s="72">
        <f>'35'!H47</f>
        <v>44300</v>
      </c>
      <c r="K424" s="72">
        <f>'35'!H48</f>
        <v>12845400</v>
      </c>
      <c r="L424" s="72">
        <f t="shared" si="32"/>
        <v>19711400</v>
      </c>
    </row>
    <row r="425" spans="1:12" ht="12" customHeight="1" x14ac:dyDescent="0.2">
      <c r="A425" s="73"/>
      <c r="B425" s="37">
        <v>40</v>
      </c>
      <c r="C425" s="37"/>
      <c r="D425" s="50" t="s">
        <v>53</v>
      </c>
      <c r="E425" s="50"/>
      <c r="F425" s="50"/>
      <c r="G425" s="72">
        <f>'40'!H47</f>
        <v>5889200</v>
      </c>
      <c r="H425" s="72">
        <f>'40'!H48</f>
        <v>235000</v>
      </c>
      <c r="I425" s="72">
        <f>'40'!H49</f>
        <v>393800</v>
      </c>
      <c r="J425" s="72">
        <f>'40'!H50</f>
        <v>54000</v>
      </c>
      <c r="K425" s="72">
        <f>'40'!H51</f>
        <v>4305300</v>
      </c>
      <c r="L425" s="87">
        <f t="shared" si="32"/>
        <v>10877300</v>
      </c>
    </row>
    <row r="426" spans="1:12" x14ac:dyDescent="0.2">
      <c r="B426" s="37">
        <v>45</v>
      </c>
      <c r="C426" s="37"/>
      <c r="D426" s="56" t="s">
        <v>54</v>
      </c>
      <c r="E426" s="50"/>
      <c r="F426" s="50"/>
      <c r="G426" s="72">
        <f>'45'!H43</f>
        <v>7436200</v>
      </c>
      <c r="H426" s="72">
        <f>'45'!H44</f>
        <v>96400</v>
      </c>
      <c r="I426" s="72">
        <f>'45'!H45</f>
        <v>1360700</v>
      </c>
      <c r="J426" s="72">
        <f>'45'!H46</f>
        <v>150500</v>
      </c>
      <c r="K426" s="72">
        <f>'45'!H47</f>
        <v>12306500</v>
      </c>
      <c r="L426" s="87">
        <f t="shared" si="32"/>
        <v>21350300</v>
      </c>
    </row>
    <row r="427" spans="1:12" ht="13.5" thickBot="1" x14ac:dyDescent="0.25">
      <c r="B427" s="50"/>
      <c r="C427" s="50"/>
      <c r="D427" s="78" t="s">
        <v>16</v>
      </c>
      <c r="E427" s="50"/>
      <c r="F427" s="50"/>
      <c r="G427" s="65">
        <f t="shared" ref="G427:L427" si="33">SUM(G412:G426)</f>
        <v>39636600</v>
      </c>
      <c r="H427" s="65">
        <f t="shared" si="33"/>
        <v>688100</v>
      </c>
      <c r="I427" s="65">
        <f t="shared" si="33"/>
        <v>7237200</v>
      </c>
      <c r="J427" s="65">
        <f t="shared" si="33"/>
        <v>11455700</v>
      </c>
      <c r="K427" s="65">
        <f t="shared" si="33"/>
        <v>67585200</v>
      </c>
      <c r="L427" s="65">
        <f t="shared" si="33"/>
        <v>126602800</v>
      </c>
    </row>
    <row r="428" spans="1:12" ht="34.5" customHeight="1" x14ac:dyDescent="0.2">
      <c r="B428" s="78"/>
      <c r="C428" s="78"/>
      <c r="D428" s="49"/>
      <c r="E428" s="47"/>
      <c r="F428" s="49"/>
      <c r="G428" s="39"/>
      <c r="H428" s="39"/>
      <c r="I428" s="39"/>
      <c r="J428" s="39"/>
      <c r="K428" s="39"/>
      <c r="L428" s="39"/>
    </row>
    <row r="429" spans="1:12" ht="34.5" thickBot="1" x14ac:dyDescent="0.25">
      <c r="B429" s="69"/>
      <c r="C429" s="69"/>
      <c r="D429" s="69" t="s">
        <v>188</v>
      </c>
      <c r="E429" s="43"/>
      <c r="F429" s="68"/>
      <c r="G429" s="15" t="str">
        <f t="shared" ref="G429:L429" si="34">G25</f>
        <v>Actuals           2014-2015</v>
      </c>
      <c r="H429" s="15" t="str">
        <f t="shared" si="34"/>
        <v>Approved Estimates          2015-2016</v>
      </c>
      <c r="I429" s="15" t="str">
        <f t="shared" si="34"/>
        <v>Revised Estimates                 2015-2016</v>
      </c>
      <c r="J429" s="15" t="str">
        <f t="shared" si="34"/>
        <v>Budget Estimates      2016-2017</v>
      </c>
      <c r="K429" s="15" t="str">
        <f t="shared" si="34"/>
        <v>Forward Estimates     2017-2018</v>
      </c>
      <c r="L429" s="15" t="str">
        <f t="shared" si="34"/>
        <v>Forward Estimates     2018-2019</v>
      </c>
    </row>
    <row r="430" spans="1:12" x14ac:dyDescent="0.2">
      <c r="B430" s="37">
        <v>210</v>
      </c>
      <c r="C430" s="37"/>
      <c r="D430" s="50" t="s">
        <v>7</v>
      </c>
      <c r="E430" s="50"/>
      <c r="F430" s="50"/>
      <c r="G430" s="61">
        <f>SUMIF('05'!$A:$A,$B430,'05'!E:E)+SUMIF('07'!$A:$A,$B430,'07'!E:E)+SUMIF('08'!$A:$A,$B430,'08'!E:E)+SUMIF('09'!$A:$A,$B430,'09'!E:E)+SUMIF('10'!$A:$A,$B430,'10'!E:E)+SUMIF('11'!$A:$A,$B430,'11'!E:E)+SUMIF('12'!$A:$A,$B430,'12'!E:E)+SUMIF('13'!$A:$A,$B430,'13'!E:E)+SUMIF('15'!$A:$A,$B430,'15'!E:E)+SUMIF('17'!$A:$A,$B430,'17'!E:E)+SUMIF('20'!$A:$A,$B430,'20'!E:E)+SUMIF('30'!$A:$A,$B430,'30'!E:E)+SUMIF('35'!$A:$A,$B430,'35'!E:E)+SUMIF('40'!$A:$A,$B430,'40'!E:E)+SUMIF('45'!$A:$A,$B430,'45'!E:E)</f>
        <v>34457041.5</v>
      </c>
      <c r="H430" s="61">
        <f>SUMIF('05'!$A:$A,$B430,'05'!F:F)+SUMIF('07'!$A:$A,$B430,'07'!F:F)+SUMIF('08'!$A:$A,$B430,'08'!F:F)+SUMIF('09'!$A:$A,$B430,'09'!F:F)+SUMIF('10'!$A:$A,$B430,'10'!F:F)+SUMIF('11'!$A:$A,$B430,'11'!F:F)+SUMIF('12'!$A:$A,$B430,'12'!F:F)+SUMIF('13'!$A:$A,$B430,'13'!F:F)+SUMIF('15'!$A:$A,$B430,'15'!F:F)+SUMIF('17'!$A:$A,$B430,'17'!F:F)+SUMIF('20'!$A:$A,$B430,'20'!F:F)+SUMIF('30'!$A:$A,$B430,'30'!F:F)+SUMIF('35'!$A:$A,$B430,'35'!F:F)+SUMIF('40'!$A:$A,$B430,'40'!F:F)+SUMIF('45'!$A:$A,$B430,'45'!F:F)</f>
        <v>38094700</v>
      </c>
      <c r="I430" s="61">
        <f>SUMIF('05'!$A:$A,$B430,'05'!G:G)+SUMIF('07'!$A:$A,$B430,'07'!G:G)+SUMIF('08'!$A:$A,$B430,'08'!G:G)+SUMIF('09'!$A:$A,$B430,'09'!G:G)+SUMIF('10'!$A:$A,$B430,'10'!G:G)+SUMIF('11'!$A:$A,$B430,'11'!G:G)+SUMIF('12'!$A:$A,$B430,'12'!G:G)+SUMIF('13'!$A:$A,$B430,'13'!G:G)+SUMIF('15'!$A:$A,$B430,'15'!G:G)+SUMIF('17'!$A:$A,$B430,'17'!G:G)+SUMIF('20'!$A:$A,$B430,'20'!G:G)+SUMIF('30'!$A:$A,$B430,'30'!G:G)+SUMIF('35'!$A:$A,$B430,'35'!G:G)+SUMIF('40'!$A:$A,$B430,'40'!G:G)+SUMIF('45'!$A:$A,$B430,'45'!G:G)</f>
        <v>36643200</v>
      </c>
      <c r="J430" s="61">
        <f>SUMIF('05'!$A:$A,$B430,'05'!H:H)+SUMIF('07'!$A:$A,$B430,'07'!H:H)+SUMIF('08'!$A:$A,$B430,'08'!H:H)+SUMIF('09'!$A:$A,$B430,'09'!H:H)+SUMIF('10'!$A:$A,$B430,'10'!H:H)+SUMIF('11'!$A:$A,$B430,'11'!H:H)+SUMIF('12'!$A:$A,$B430,'12'!H:H)+SUMIF('13'!$A:$A,$B430,'13'!H:H)+SUMIF('15'!$A:$A,$B430,'15'!H:H)+SUMIF('17'!$A:$A,$B430,'17'!H:H)+SUMIF('20'!$A:$A,$B430,'20'!H:H)+SUMIF('30'!$A:$A,$B430,'30'!H:H)+SUMIF('35'!$A:$A,$B430,'35'!H:H)+SUMIF('40'!$A:$A,$B430,'40'!H:H)+SUMIF('45'!$A:$A,$B430,'45'!H:H)</f>
        <v>39636600</v>
      </c>
      <c r="K430" s="61">
        <f>SUMIF('05'!$A:$A,$B430,'05'!I:I)+SUMIF('07'!$A:$A,$B430,'07'!I:I)+SUMIF('08'!$A:$A,$B430,'08'!I:I)+SUMIF('09'!$A:$A,$B430,'09'!I:I)+SUMIF('10'!$A:$A,$B430,'10'!I:I)+SUMIF('11'!$A:$A,$B430,'11'!I:I)+SUMIF('12'!$A:$A,$B430,'12'!I:I)+SUMIF('13'!$A:$A,$B430,'13'!I:I)+SUMIF('15'!$A:$A,$B430,'15'!I:I)+SUMIF('17'!$A:$A,$B430,'17'!I:I)+SUMIF('20'!$A:$A,$B430,'20'!I:I)+SUMIF('30'!$A:$A,$B430,'30'!I:I)+SUMIF('35'!$A:$A,$B430,'35'!I:I)+SUMIF('40'!$A:$A,$B430,'40'!I:I)+SUMIF('45'!$A:$A,$B430,'45'!I:I)</f>
        <v>41291600</v>
      </c>
      <c r="L430" s="61">
        <f>SUMIF('05'!$A:$A,$B430,'05'!J:J)+SUMIF('07'!$A:$A,$B430,'07'!J:J)+SUMIF('08'!$A:$A,$B430,'08'!J:J)+SUMIF('09'!$A:$A,$B430,'09'!J:J)+SUMIF('10'!$A:$A,$B430,'10'!J:J)+SUMIF('11'!$A:$A,$B430,'11'!J:J)+SUMIF('12'!$A:$A,$B430,'12'!J:J)+SUMIF('13'!$A:$A,$B430,'13'!J:J)+SUMIF('15'!$A:$A,$B430,'15'!J:J)+SUMIF('17'!$A:$A,$B430,'17'!J:J)+SUMIF('20'!$A:$A,$B430,'20'!J:J)+SUMIF('30'!$A:$A,$B430,'30'!J:J)+SUMIF('35'!$A:$A,$B430,'35'!J:J)+SUMIF('40'!$A:$A,$B430,'40'!J:J)+SUMIF('45'!$A:$A,$B430,'45'!J:J)</f>
        <v>41894700</v>
      </c>
    </row>
    <row r="431" spans="1:12" x14ac:dyDescent="0.2">
      <c r="B431" s="37">
        <v>211</v>
      </c>
      <c r="C431" s="37"/>
      <c r="D431" s="50" t="s">
        <v>8</v>
      </c>
      <c r="E431" s="50"/>
      <c r="F431" s="50"/>
      <c r="G431" s="61">
        <f>SUMIF('05'!$A:$A,$B431,'05'!E:E)+SUMIF('07'!$A:$A,$B431,'07'!E:E)+SUMIF('08'!$A:$A,$B431,'08'!E:E)+SUMIF('09'!$A:$A,$B431,'09'!E:E)+SUMIF('10'!$A:$A,$B431,'10'!E:E)+SUMIF('11'!$A:$A,$B431,'11'!E:E)+SUMIF('12'!$A:$A,$B431,'12'!E:E)+SUMIF('13'!$A:$A,$B431,'13'!E:E)+SUMIF('15'!$A:$A,$B431,'15'!E:E)+SUMIF('17'!$A:$A,$B431,'17'!E:E)+SUMIF('20'!$A:$A,$B431,'20'!E:E)+SUMIF('30'!$A:$A,$B431,'30'!E:E)+SUMIF('35'!$A:$A,$B431,'35'!E:E)+SUMIF('40'!$A:$A,$B431,'40'!E:E)+SUMIF('45'!$A:$A,$B431,'45'!E:E)</f>
        <v>0</v>
      </c>
      <c r="H431" s="61">
        <f>SUMIF('05'!$A:$A,$B431,'05'!F:F)+SUMIF('07'!$A:$A,$B431,'07'!F:F)+SUMIF('08'!$A:$A,$B431,'08'!F:F)+SUMIF('09'!$A:$A,$B431,'09'!F:F)+SUMIF('10'!$A:$A,$B431,'10'!F:F)+SUMIF('11'!$A:$A,$B431,'11'!F:F)+SUMIF('12'!$A:$A,$B431,'12'!F:F)+SUMIF('13'!$A:$A,$B431,'13'!F:F)+SUMIF('15'!$A:$A,$B431,'15'!F:F)+SUMIF('17'!$A:$A,$B431,'17'!F:F)+SUMIF('20'!$A:$A,$B431,'20'!F:F)+SUMIF('30'!$A:$A,$B431,'30'!F:F)+SUMIF('35'!$A:$A,$B431,'35'!F:F)+SUMIF('40'!$A:$A,$B431,'40'!F:F)+SUMIF('45'!$A:$A,$B431,'45'!F:F)</f>
        <v>0</v>
      </c>
      <c r="I431" s="61">
        <f>SUMIF('05'!$A:$A,$B431,'05'!G:G)+SUMIF('07'!$A:$A,$B431,'07'!G:G)+SUMIF('08'!$A:$A,$B431,'08'!G:G)+SUMIF('09'!$A:$A,$B431,'09'!G:G)+SUMIF('10'!$A:$A,$B431,'10'!G:G)+SUMIF('11'!$A:$A,$B431,'11'!G:G)+SUMIF('12'!$A:$A,$B431,'12'!G:G)+SUMIF('13'!$A:$A,$B431,'13'!G:G)+SUMIF('15'!$A:$A,$B431,'15'!G:G)+SUMIF('17'!$A:$A,$B431,'17'!G:G)+SUMIF('20'!$A:$A,$B431,'20'!G:G)+SUMIF('30'!$A:$A,$B431,'30'!G:G)+SUMIF('35'!$A:$A,$B431,'35'!G:G)+SUMIF('40'!$A:$A,$B431,'40'!G:G)+SUMIF('45'!$A:$A,$B431,'45'!G:G)</f>
        <v>0</v>
      </c>
      <c r="J431" s="61">
        <f>SUMIF('05'!$A:$A,$B431,'05'!H:H)+SUMIF('07'!$A:$A,$B431,'07'!H:H)+SUMIF('08'!$A:$A,$B431,'08'!H:H)+SUMIF('09'!$A:$A,$B431,'09'!H:H)+SUMIF('10'!$A:$A,$B431,'10'!H:H)+SUMIF('11'!$A:$A,$B431,'11'!H:H)+SUMIF('12'!$A:$A,$B431,'12'!H:H)+SUMIF('13'!$A:$A,$B431,'13'!H:H)+SUMIF('15'!$A:$A,$B431,'15'!H:H)+SUMIF('17'!$A:$A,$B431,'17'!H:H)+SUMIF('20'!$A:$A,$B431,'20'!H:H)+SUMIF('30'!$A:$A,$B431,'30'!H:H)+SUMIF('35'!$A:$A,$B431,'35'!H:H)+SUMIF('40'!$A:$A,$B431,'40'!H:H)+SUMIF('45'!$A:$A,$B431,'45'!H:H)</f>
        <v>0</v>
      </c>
      <c r="K431" s="61">
        <f>SUMIF('05'!$A:$A,$B431,'05'!I:I)+SUMIF('07'!$A:$A,$B431,'07'!I:I)+SUMIF('08'!$A:$A,$B431,'08'!I:I)+SUMIF('09'!$A:$A,$B431,'09'!I:I)+SUMIF('10'!$A:$A,$B431,'10'!I:I)+SUMIF('11'!$A:$A,$B431,'11'!I:I)+SUMIF('12'!$A:$A,$B431,'12'!I:I)+SUMIF('13'!$A:$A,$B431,'13'!I:I)+SUMIF('15'!$A:$A,$B431,'15'!I:I)+SUMIF('17'!$A:$A,$B431,'17'!I:I)+SUMIF('20'!$A:$A,$B431,'20'!I:I)+SUMIF('30'!$A:$A,$B431,'30'!I:I)+SUMIF('35'!$A:$A,$B431,'35'!I:I)+SUMIF('40'!$A:$A,$B431,'40'!I:I)+SUMIF('45'!$A:$A,$B431,'45'!I:I)</f>
        <v>0</v>
      </c>
      <c r="L431" s="61">
        <f>SUMIF('05'!$A:$A,$B431,'05'!J:J)+SUMIF('07'!$A:$A,$B431,'07'!J:J)+SUMIF('08'!$A:$A,$B431,'08'!J:J)+SUMIF('09'!$A:$A,$B431,'09'!J:J)+SUMIF('10'!$A:$A,$B431,'10'!J:J)+SUMIF('11'!$A:$A,$B431,'11'!J:J)+SUMIF('12'!$A:$A,$B431,'12'!J:J)+SUMIF('13'!$A:$A,$B431,'13'!J:J)+SUMIF('15'!$A:$A,$B431,'15'!J:J)+SUMIF('17'!$A:$A,$B431,'17'!J:J)+SUMIF('20'!$A:$A,$B431,'20'!J:J)+SUMIF('30'!$A:$A,$B431,'30'!J:J)+SUMIF('35'!$A:$A,$B431,'35'!J:J)+SUMIF('40'!$A:$A,$B431,'40'!J:J)+SUMIF('45'!$A:$A,$B431,'45'!J:J)</f>
        <v>0</v>
      </c>
    </row>
    <row r="432" spans="1:12" x14ac:dyDescent="0.2">
      <c r="B432" s="37">
        <v>212</v>
      </c>
      <c r="C432" s="37"/>
      <c r="D432" s="50" t="s">
        <v>9</v>
      </c>
      <c r="E432" s="50"/>
      <c r="F432" s="50"/>
      <c r="G432" s="61">
        <f>SUMIF('05'!$A:$A,$B432,'05'!E:E)+SUMIF('07'!$A:$A,$B432,'07'!E:E)+SUMIF('08'!$A:$A,$B432,'08'!E:E)+SUMIF('09'!$A:$A,$B432,'09'!E:E)+SUMIF('10'!$A:$A,$B432,'10'!E:E)+SUMIF('11'!$A:$A,$B432,'11'!E:E)+SUMIF('12'!$A:$A,$B432,'12'!E:E)+SUMIF('13'!$A:$A,$B432,'13'!E:E)+SUMIF('15'!$A:$A,$B432,'15'!E:E)+SUMIF('17'!$A:$A,$B432,'17'!E:E)+SUMIF('20'!$A:$A,$B432,'20'!E:E)+SUMIF('30'!$A:$A,$B432,'30'!E:E)+SUMIF('35'!$A:$A,$B432,'35'!E:E)+SUMIF('40'!$A:$A,$B432,'40'!E:E)+SUMIF('45'!$A:$A,$B432,'45'!E:E)</f>
        <v>538125.02999999991</v>
      </c>
      <c r="H432" s="61">
        <f>SUMIF('05'!$A:$A,$B432,'05'!F:F)+SUMIF('07'!$A:$A,$B432,'07'!F:F)+SUMIF('08'!$A:$A,$B432,'08'!F:F)+SUMIF('09'!$A:$A,$B432,'09'!F:F)+SUMIF('10'!$A:$A,$B432,'10'!F:F)+SUMIF('11'!$A:$A,$B432,'11'!F:F)+SUMIF('12'!$A:$A,$B432,'12'!F:F)+SUMIF('13'!$A:$A,$B432,'13'!F:F)+SUMIF('15'!$A:$A,$B432,'15'!F:F)+SUMIF('17'!$A:$A,$B432,'17'!F:F)+SUMIF('20'!$A:$A,$B432,'20'!F:F)+SUMIF('30'!$A:$A,$B432,'30'!F:F)+SUMIF('35'!$A:$A,$B432,'35'!F:F)+SUMIF('40'!$A:$A,$B432,'40'!F:F)+SUMIF('45'!$A:$A,$B432,'45'!F:F)</f>
        <v>694500</v>
      </c>
      <c r="I432" s="61">
        <f>SUMIF('05'!$A:$A,$B432,'05'!G:G)+SUMIF('07'!$A:$A,$B432,'07'!G:G)+SUMIF('08'!$A:$A,$B432,'08'!G:G)+SUMIF('09'!$A:$A,$B432,'09'!G:G)+SUMIF('10'!$A:$A,$B432,'10'!G:G)+SUMIF('11'!$A:$A,$B432,'11'!G:G)+SUMIF('12'!$A:$A,$B432,'12'!G:G)+SUMIF('13'!$A:$A,$B432,'13'!G:G)+SUMIF('15'!$A:$A,$B432,'15'!G:G)+SUMIF('17'!$A:$A,$B432,'17'!G:G)+SUMIF('20'!$A:$A,$B432,'20'!G:G)+SUMIF('30'!$A:$A,$B432,'30'!G:G)+SUMIF('35'!$A:$A,$B432,'35'!G:G)+SUMIF('40'!$A:$A,$B432,'40'!G:G)+SUMIF('45'!$A:$A,$B432,'45'!G:G)</f>
        <v>698500</v>
      </c>
      <c r="J432" s="61">
        <f>SUMIF('05'!$A:$A,$B432,'05'!H:H)+SUMIF('07'!$A:$A,$B432,'07'!H:H)+SUMIF('08'!$A:$A,$B432,'08'!H:H)+SUMIF('09'!$A:$A,$B432,'09'!H:H)+SUMIF('10'!$A:$A,$B432,'10'!H:H)+SUMIF('11'!$A:$A,$B432,'11'!H:H)+SUMIF('12'!$A:$A,$B432,'12'!H:H)+SUMIF('13'!$A:$A,$B432,'13'!H:H)+SUMIF('15'!$A:$A,$B432,'15'!H:H)+SUMIF('17'!$A:$A,$B432,'17'!H:H)+SUMIF('20'!$A:$A,$B432,'20'!H:H)+SUMIF('30'!$A:$A,$B432,'30'!H:H)+SUMIF('35'!$A:$A,$B432,'35'!H:H)+SUMIF('40'!$A:$A,$B432,'40'!H:H)+SUMIF('45'!$A:$A,$B432,'45'!H:H)</f>
        <v>688100</v>
      </c>
      <c r="K432" s="61">
        <f>SUMIF('05'!$A:$A,$B432,'05'!I:I)+SUMIF('07'!$A:$A,$B432,'07'!I:I)+SUMIF('08'!$A:$A,$B432,'08'!I:I)+SUMIF('09'!$A:$A,$B432,'09'!I:I)+SUMIF('10'!$A:$A,$B432,'10'!I:I)+SUMIF('11'!$A:$A,$B432,'11'!I:I)+SUMIF('12'!$A:$A,$B432,'12'!I:I)+SUMIF('13'!$A:$A,$B432,'13'!I:I)+SUMIF('15'!$A:$A,$B432,'15'!I:I)+SUMIF('17'!$A:$A,$B432,'17'!I:I)+SUMIF('20'!$A:$A,$B432,'20'!I:I)+SUMIF('30'!$A:$A,$B432,'30'!I:I)+SUMIF('35'!$A:$A,$B432,'35'!I:I)+SUMIF('40'!$A:$A,$B432,'40'!I:I)+SUMIF('45'!$A:$A,$B432,'45'!I:I)</f>
        <v>690800</v>
      </c>
      <c r="L432" s="61">
        <f>SUMIF('05'!$A:$A,$B432,'05'!J:J)+SUMIF('07'!$A:$A,$B432,'07'!J:J)+SUMIF('08'!$A:$A,$B432,'08'!J:J)+SUMIF('09'!$A:$A,$B432,'09'!J:J)+SUMIF('10'!$A:$A,$B432,'10'!J:J)+SUMIF('11'!$A:$A,$B432,'11'!J:J)+SUMIF('12'!$A:$A,$B432,'12'!J:J)+SUMIF('13'!$A:$A,$B432,'13'!J:J)+SUMIF('15'!$A:$A,$B432,'15'!J:J)+SUMIF('17'!$A:$A,$B432,'17'!J:J)+SUMIF('20'!$A:$A,$B432,'20'!J:J)+SUMIF('30'!$A:$A,$B432,'30'!J:J)+SUMIF('35'!$A:$A,$B432,'35'!J:J)+SUMIF('40'!$A:$A,$B432,'40'!J:J)+SUMIF('45'!$A:$A,$B432,'45'!J:J)</f>
        <v>693500</v>
      </c>
    </row>
    <row r="433" spans="2:12" x14ac:dyDescent="0.2">
      <c r="B433" s="37">
        <v>213</v>
      </c>
      <c r="C433" s="50"/>
      <c r="D433" s="56" t="s">
        <v>201</v>
      </c>
      <c r="E433" s="50"/>
      <c r="F433" s="50"/>
      <c r="G433" s="61">
        <f>SUMIF('05'!$A:$A,$B433,'05'!E:E)+SUMIF('07'!$A:$A,$B433,'07'!E:E)+SUMIF('08'!$A:$A,$B433,'08'!E:E)+SUMIF('09'!$A:$A,$B433,'09'!E:E)+SUMIF('10'!$A:$A,$B433,'10'!E:E)+SUMIF('11'!$A:$A,$B433,'11'!E:E)+SUMIF('12'!$A:$A,$B433,'12'!E:E)+SUMIF('13'!$A:$A,$B433,'13'!E:E)+SUMIF('15'!$A:$A,$B433,'15'!E:E)+SUMIF('17'!$A:$A,$B433,'17'!E:E)+SUMIF('20'!$A:$A,$B433,'20'!E:E)+SUMIF('30'!$A:$A,$B433,'30'!E:E)+SUMIF('35'!$A:$A,$B433,'35'!E:E)+SUMIF('40'!$A:$A,$B433,'40'!E:E)+SUMIF('45'!$A:$A,$B433,'45'!E:E)</f>
        <v>0</v>
      </c>
      <c r="H433" s="61">
        <f>SUMIF('05'!$A:$A,$B433,'05'!F:F)+SUMIF('07'!$A:$A,$B433,'07'!F:F)+SUMIF('08'!$A:$A,$B433,'08'!F:F)+SUMIF('09'!$A:$A,$B433,'09'!F:F)+SUMIF('10'!$A:$A,$B433,'10'!F:F)+SUMIF('11'!$A:$A,$B433,'11'!F:F)+SUMIF('12'!$A:$A,$B433,'12'!F:F)+SUMIF('13'!$A:$A,$B433,'13'!F:F)+SUMIF('15'!$A:$A,$B433,'15'!F:F)+SUMIF('17'!$A:$A,$B433,'17'!F:F)+SUMIF('20'!$A:$A,$B433,'20'!F:F)+SUMIF('30'!$A:$A,$B433,'30'!F:F)+SUMIF('35'!$A:$A,$B433,'35'!F:F)+SUMIF('40'!$A:$A,$B433,'40'!F:F)+SUMIF('45'!$A:$A,$B433,'45'!F:F)</f>
        <v>0</v>
      </c>
      <c r="I433" s="61">
        <f>SUMIF('05'!$A:$A,$B433,'05'!G:G)+SUMIF('07'!$A:$A,$B433,'07'!G:G)+SUMIF('08'!$A:$A,$B433,'08'!G:G)+SUMIF('09'!$A:$A,$B433,'09'!G:G)+SUMIF('10'!$A:$A,$B433,'10'!G:G)+SUMIF('11'!$A:$A,$B433,'11'!G:G)+SUMIF('12'!$A:$A,$B433,'12'!G:G)+SUMIF('13'!$A:$A,$B433,'13'!G:G)+SUMIF('15'!$A:$A,$B433,'15'!G:G)+SUMIF('17'!$A:$A,$B433,'17'!G:G)+SUMIF('20'!$A:$A,$B433,'20'!G:G)+SUMIF('30'!$A:$A,$B433,'30'!G:G)+SUMIF('35'!$A:$A,$B433,'35'!G:G)+SUMIF('40'!$A:$A,$B433,'40'!G:G)+SUMIF('45'!$A:$A,$B433,'45'!G:G)</f>
        <v>0</v>
      </c>
      <c r="J433" s="61">
        <f>SUMIF('05'!$A:$A,$B433,'05'!H:H)+SUMIF('07'!$A:$A,$B433,'07'!H:H)+SUMIF('08'!$A:$A,$B433,'08'!H:H)+SUMIF('09'!$A:$A,$B433,'09'!H:H)+SUMIF('10'!$A:$A,$B433,'10'!H:H)+SUMIF('11'!$A:$A,$B433,'11'!H:H)+SUMIF('12'!$A:$A,$B433,'12'!H:H)+SUMIF('13'!$A:$A,$B433,'13'!H:H)+SUMIF('15'!$A:$A,$B433,'15'!H:H)+SUMIF('17'!$A:$A,$B433,'17'!H:H)+SUMIF('20'!$A:$A,$B433,'20'!H:H)+SUMIF('30'!$A:$A,$B433,'30'!H:H)+SUMIF('35'!$A:$A,$B433,'35'!H:H)+SUMIF('40'!$A:$A,$B433,'40'!H:H)+SUMIF('45'!$A:$A,$B433,'45'!H:H)</f>
        <v>0</v>
      </c>
      <c r="K433" s="61">
        <f>SUMIF('05'!$A:$A,$B433,'05'!I:I)+SUMIF('07'!$A:$A,$B433,'07'!I:I)+SUMIF('08'!$A:$A,$B433,'08'!I:I)+SUMIF('09'!$A:$A,$B433,'09'!I:I)+SUMIF('10'!$A:$A,$B433,'10'!I:I)+SUMIF('11'!$A:$A,$B433,'11'!I:I)+SUMIF('12'!$A:$A,$B433,'12'!I:I)+SUMIF('13'!$A:$A,$B433,'13'!I:I)+SUMIF('15'!$A:$A,$B433,'15'!I:I)+SUMIF('17'!$A:$A,$B433,'17'!I:I)+SUMIF('20'!$A:$A,$B433,'20'!I:I)+SUMIF('30'!$A:$A,$B433,'30'!I:I)+SUMIF('35'!$A:$A,$B433,'35'!I:I)+SUMIF('40'!$A:$A,$B433,'40'!I:I)+SUMIF('45'!$A:$A,$B433,'45'!I:I)</f>
        <v>0</v>
      </c>
      <c r="L433" s="61">
        <f>SUMIF('05'!$A:$A,$B433,'05'!J:J)+SUMIF('07'!$A:$A,$B433,'07'!J:J)+SUMIF('08'!$A:$A,$B433,'08'!J:J)+SUMIF('09'!$A:$A,$B433,'09'!J:J)+SUMIF('10'!$A:$A,$B433,'10'!J:J)+SUMIF('11'!$A:$A,$B433,'11'!J:J)+SUMIF('12'!$A:$A,$B433,'12'!J:J)+SUMIF('13'!$A:$A,$B433,'13'!J:J)+SUMIF('15'!$A:$A,$B433,'15'!J:J)+SUMIF('17'!$A:$A,$B433,'17'!J:J)+SUMIF('20'!$A:$A,$B433,'20'!J:J)+SUMIF('30'!$A:$A,$B433,'30'!J:J)+SUMIF('35'!$A:$A,$B433,'35'!J:J)+SUMIF('40'!$A:$A,$B433,'40'!J:J)+SUMIF('45'!$A:$A,$B433,'45'!J:J)</f>
        <v>0</v>
      </c>
    </row>
    <row r="434" spans="2:12" x14ac:dyDescent="0.2">
      <c r="B434" s="37">
        <v>216</v>
      </c>
      <c r="C434" s="37"/>
      <c r="D434" s="50" t="s">
        <v>10</v>
      </c>
      <c r="E434" s="50"/>
      <c r="F434" s="50"/>
      <c r="G434" s="61">
        <f>SUMIF('05'!$A:$A,$B434,'05'!E:E)+SUMIF('07'!$A:$A,$B434,'07'!E:E)+SUMIF('08'!$A:$A,$B434,'08'!E:E)+SUMIF('09'!$A:$A,$B434,'09'!E:E)+SUMIF('10'!$A:$A,$B434,'10'!E:E)+SUMIF('11'!$A:$A,$B434,'11'!E:E)+SUMIF('12'!$A:$A,$B434,'12'!E:E)+SUMIF('13'!$A:$A,$B434,'13'!E:E)+SUMIF('15'!$A:$A,$B434,'15'!E:E)+SUMIF('17'!$A:$A,$B434,'17'!E:E)+SUMIF('20'!$A:$A,$B434,'20'!E:E)+SUMIF('30'!$A:$A,$B434,'30'!E:E)+SUMIF('35'!$A:$A,$B434,'35'!E:E)+SUMIF('40'!$A:$A,$B434,'40'!E:E)+SUMIF('45'!$A:$A,$B434,'45'!E:E)</f>
        <v>6337612.9900000002</v>
      </c>
      <c r="H434" s="61">
        <f>SUMIF('05'!$A:$A,$B434,'05'!F:F)+SUMIF('07'!$A:$A,$B434,'07'!F:F)+SUMIF('08'!$A:$A,$B434,'08'!F:F)+SUMIF('09'!$A:$A,$B434,'09'!F:F)+SUMIF('10'!$A:$A,$B434,'10'!F:F)+SUMIF('11'!$A:$A,$B434,'11'!F:F)+SUMIF('12'!$A:$A,$B434,'12'!F:F)+SUMIF('13'!$A:$A,$B434,'13'!F:F)+SUMIF('15'!$A:$A,$B434,'15'!F:F)+SUMIF('17'!$A:$A,$B434,'17'!F:F)+SUMIF('20'!$A:$A,$B434,'20'!F:F)+SUMIF('30'!$A:$A,$B434,'30'!F:F)+SUMIF('35'!$A:$A,$B434,'35'!F:F)+SUMIF('40'!$A:$A,$B434,'40'!F:F)+SUMIF('45'!$A:$A,$B434,'45'!F:F)</f>
        <v>6962200</v>
      </c>
      <c r="I434" s="61">
        <f>SUMIF('05'!$A:$A,$B434,'05'!G:G)+SUMIF('07'!$A:$A,$B434,'07'!G:G)+SUMIF('08'!$A:$A,$B434,'08'!G:G)+SUMIF('09'!$A:$A,$B434,'09'!G:G)+SUMIF('10'!$A:$A,$B434,'10'!G:G)+SUMIF('11'!$A:$A,$B434,'11'!G:G)+SUMIF('12'!$A:$A,$B434,'12'!G:G)+SUMIF('13'!$A:$A,$B434,'13'!G:G)+SUMIF('15'!$A:$A,$B434,'15'!G:G)+SUMIF('17'!$A:$A,$B434,'17'!G:G)+SUMIF('20'!$A:$A,$B434,'20'!G:G)+SUMIF('30'!$A:$A,$B434,'30'!G:G)+SUMIF('35'!$A:$A,$B434,'35'!G:G)+SUMIF('40'!$A:$A,$B434,'40'!G:G)+SUMIF('45'!$A:$A,$B434,'45'!G:G)</f>
        <v>6604900</v>
      </c>
      <c r="J434" s="61">
        <f>SUMIF('05'!$A:$A,$B434,'05'!H:H)+SUMIF('07'!$A:$A,$B434,'07'!H:H)+SUMIF('08'!$A:$A,$B434,'08'!H:H)+SUMIF('09'!$A:$A,$B434,'09'!H:H)+SUMIF('10'!$A:$A,$B434,'10'!H:H)+SUMIF('11'!$A:$A,$B434,'11'!H:H)+SUMIF('12'!$A:$A,$B434,'12'!H:H)+SUMIF('13'!$A:$A,$B434,'13'!H:H)+SUMIF('15'!$A:$A,$B434,'15'!H:H)+SUMIF('17'!$A:$A,$B434,'17'!H:H)+SUMIF('20'!$A:$A,$B434,'20'!H:H)+SUMIF('30'!$A:$A,$B434,'30'!H:H)+SUMIF('35'!$A:$A,$B434,'35'!H:H)+SUMIF('40'!$A:$A,$B434,'40'!H:H)+SUMIF('45'!$A:$A,$B434,'45'!H:H)</f>
        <v>7237200</v>
      </c>
      <c r="K434" s="61">
        <f>SUMIF('05'!$A:$A,$B434,'05'!I:I)+SUMIF('07'!$A:$A,$B434,'07'!I:I)+SUMIF('08'!$A:$A,$B434,'08'!I:I)+SUMIF('09'!$A:$A,$B434,'09'!I:I)+SUMIF('10'!$A:$A,$B434,'10'!I:I)+SUMIF('11'!$A:$A,$B434,'11'!I:I)+SUMIF('12'!$A:$A,$B434,'12'!I:I)+SUMIF('13'!$A:$A,$B434,'13'!I:I)+SUMIF('15'!$A:$A,$B434,'15'!I:I)+SUMIF('17'!$A:$A,$B434,'17'!I:I)+SUMIF('20'!$A:$A,$B434,'20'!I:I)+SUMIF('30'!$A:$A,$B434,'30'!I:I)+SUMIF('35'!$A:$A,$B434,'35'!I:I)+SUMIF('40'!$A:$A,$B434,'40'!I:I)+SUMIF('45'!$A:$A,$B434,'45'!I:I)</f>
        <v>7213200</v>
      </c>
      <c r="L434" s="61">
        <f>SUMIF('05'!$A:$A,$B434,'05'!J:J)+SUMIF('07'!$A:$A,$B434,'07'!J:J)+SUMIF('08'!$A:$A,$B434,'08'!J:J)+SUMIF('09'!$A:$A,$B434,'09'!J:J)+SUMIF('10'!$A:$A,$B434,'10'!J:J)+SUMIF('11'!$A:$A,$B434,'11'!J:J)+SUMIF('12'!$A:$A,$B434,'12'!J:J)+SUMIF('13'!$A:$A,$B434,'13'!J:J)+SUMIF('15'!$A:$A,$B434,'15'!J:J)+SUMIF('17'!$A:$A,$B434,'17'!J:J)+SUMIF('20'!$A:$A,$B434,'20'!J:J)+SUMIF('30'!$A:$A,$B434,'30'!J:J)+SUMIF('35'!$A:$A,$B434,'35'!J:J)+SUMIF('40'!$A:$A,$B434,'40'!J:J)+SUMIF('45'!$A:$A,$B434,'45'!J:J)</f>
        <v>7196900</v>
      </c>
    </row>
    <row r="435" spans="2:12" x14ac:dyDescent="0.2">
      <c r="B435" s="37">
        <v>218</v>
      </c>
      <c r="C435" s="37"/>
      <c r="D435" s="50" t="s">
        <v>202</v>
      </c>
      <c r="E435" s="50"/>
      <c r="F435" s="50"/>
      <c r="G435" s="61">
        <f>SUMIF('05'!$A:$A,$B435,'05'!E:E)+SUMIF('07'!$A:$A,$B435,'07'!E:E)+SUMIF('08'!$A:$A,$B435,'08'!E:E)+SUMIF('09'!$A:$A,$B435,'09'!E:E)+SUMIF('10'!$A:$A,$B435,'10'!E:E)+SUMIF('11'!$A:$A,$B435,'11'!E:E)+SUMIF('12'!$A:$A,$B435,'12'!E:E)+SUMIF('13'!$A:$A,$B435,'13'!E:E)+SUMIF('15'!$A:$A,$B435,'15'!E:E)+SUMIF('17'!$A:$A,$B435,'17'!E:E)+SUMIF('20'!$A:$A,$B435,'20'!E:E)+SUMIF('30'!$A:$A,$B435,'30'!E:E)+SUMIF('35'!$A:$A,$B435,'35'!E:E)+SUMIF('40'!$A:$A,$B435,'40'!E:E)+SUMIF('45'!$A:$A,$B435,'45'!E:E)</f>
        <v>14142814.860000001</v>
      </c>
      <c r="H435" s="61">
        <f>SUMIF('05'!$A:$A,$B435,'05'!F:F)+SUMIF('07'!$A:$A,$B435,'07'!F:F)+SUMIF('08'!$A:$A,$B435,'08'!F:F)+SUMIF('09'!$A:$A,$B435,'09'!F:F)+SUMIF('10'!$A:$A,$B435,'10'!F:F)+SUMIF('11'!$A:$A,$B435,'11'!F:F)+SUMIF('12'!$A:$A,$B435,'12'!F:F)+SUMIF('13'!$A:$A,$B435,'13'!F:F)+SUMIF('15'!$A:$A,$B435,'15'!F:F)+SUMIF('17'!$A:$A,$B435,'17'!F:F)+SUMIF('20'!$A:$A,$B435,'20'!F:F)+SUMIF('30'!$A:$A,$B435,'30'!F:F)+SUMIF('35'!$A:$A,$B435,'35'!F:F)+SUMIF('40'!$A:$A,$B435,'40'!F:F)+SUMIF('45'!$A:$A,$B435,'45'!F:F)</f>
        <v>13074700</v>
      </c>
      <c r="I435" s="61">
        <f>SUMIF('05'!$A:$A,$B435,'05'!G:G)+SUMIF('07'!$A:$A,$B435,'07'!G:G)+SUMIF('08'!$A:$A,$B435,'08'!G:G)+SUMIF('09'!$A:$A,$B435,'09'!G:G)+SUMIF('10'!$A:$A,$B435,'10'!G:G)+SUMIF('11'!$A:$A,$B435,'11'!G:G)+SUMIF('12'!$A:$A,$B435,'12'!G:G)+SUMIF('13'!$A:$A,$B435,'13'!G:G)+SUMIF('15'!$A:$A,$B435,'15'!G:G)+SUMIF('17'!$A:$A,$B435,'17'!G:G)+SUMIF('20'!$A:$A,$B435,'20'!G:G)+SUMIF('30'!$A:$A,$B435,'30'!G:G)+SUMIF('35'!$A:$A,$B435,'35'!G:G)+SUMIF('40'!$A:$A,$B435,'40'!G:G)+SUMIF('45'!$A:$A,$B435,'45'!G:G)</f>
        <v>12458300</v>
      </c>
      <c r="J435" s="61">
        <f>SUMIF('05'!$A:$A,$B435,'05'!H:H)+SUMIF('07'!$A:$A,$B435,'07'!H:H)+SUMIF('08'!$A:$A,$B435,'08'!H:H)+SUMIF('09'!$A:$A,$B435,'09'!H:H)+SUMIF('10'!$A:$A,$B435,'10'!H:H)+SUMIF('11'!$A:$A,$B435,'11'!H:H)+SUMIF('12'!$A:$A,$B435,'12'!H:H)+SUMIF('13'!$A:$A,$B435,'13'!H:H)+SUMIF('15'!$A:$A,$B435,'15'!H:H)+SUMIF('17'!$A:$A,$B435,'17'!H:H)+SUMIF('20'!$A:$A,$B435,'20'!H:H)+SUMIF('30'!$A:$A,$B435,'30'!H:H)+SUMIF('35'!$A:$A,$B435,'35'!H:H)+SUMIF('40'!$A:$A,$B435,'40'!H:H)+SUMIF('45'!$A:$A,$B435,'45'!H:H)</f>
        <v>11455700</v>
      </c>
      <c r="K435" s="61">
        <f>SUMIF('05'!$A:$A,$B435,'05'!I:I)+SUMIF('07'!$A:$A,$B435,'07'!I:I)+SUMIF('08'!$A:$A,$B435,'08'!I:I)+SUMIF('09'!$A:$A,$B435,'09'!I:I)+SUMIF('10'!$A:$A,$B435,'10'!I:I)+SUMIF('11'!$A:$A,$B435,'11'!I:I)+SUMIF('12'!$A:$A,$B435,'12'!I:I)+SUMIF('13'!$A:$A,$B435,'13'!I:I)+SUMIF('15'!$A:$A,$B435,'15'!I:I)+SUMIF('17'!$A:$A,$B435,'17'!I:I)+SUMIF('20'!$A:$A,$B435,'20'!I:I)+SUMIF('30'!$A:$A,$B435,'30'!I:I)+SUMIF('35'!$A:$A,$B435,'35'!I:I)+SUMIF('40'!$A:$A,$B435,'40'!I:I)+SUMIF('45'!$A:$A,$B435,'45'!I:I)</f>
        <v>11632100</v>
      </c>
      <c r="L435" s="61">
        <f>SUMIF('05'!$A:$A,$B435,'05'!J:J)+SUMIF('07'!$A:$A,$B435,'07'!J:J)+SUMIF('08'!$A:$A,$B435,'08'!J:J)+SUMIF('09'!$A:$A,$B435,'09'!J:J)+SUMIF('10'!$A:$A,$B435,'10'!J:J)+SUMIF('11'!$A:$A,$B435,'11'!J:J)+SUMIF('12'!$A:$A,$B435,'12'!J:J)+SUMIF('13'!$A:$A,$B435,'13'!J:J)+SUMIF('15'!$A:$A,$B435,'15'!J:J)+SUMIF('17'!$A:$A,$B435,'17'!J:J)+SUMIF('20'!$A:$A,$B435,'20'!J:J)+SUMIF('30'!$A:$A,$B435,'30'!J:J)+SUMIF('35'!$A:$A,$B435,'35'!J:J)+SUMIF('40'!$A:$A,$B435,'40'!J:J)+SUMIF('45'!$A:$A,$B435,'45'!J:J)</f>
        <v>11459100</v>
      </c>
    </row>
    <row r="436" spans="2:12" x14ac:dyDescent="0.2">
      <c r="B436" s="37">
        <v>219</v>
      </c>
      <c r="C436" s="37"/>
      <c r="D436" s="50" t="s">
        <v>203</v>
      </c>
      <c r="E436" s="50"/>
      <c r="F436" s="50"/>
      <c r="G436" s="61">
        <f>SUMIF('05'!$A:$A,$B436,'05'!E:E)+SUMIF('07'!$A:$A,$B436,'07'!E:E)+SUMIF('08'!$A:$A,$B436,'08'!E:E)+SUMIF('09'!$A:$A,$B436,'09'!E:E)+SUMIF('10'!$A:$A,$B436,'10'!E:E)+SUMIF('11'!$A:$A,$B436,'11'!E:E)+SUMIF('12'!$A:$A,$B436,'12'!E:E)+SUMIF('13'!$A:$A,$B436,'13'!E:E)+SUMIF('15'!$A:$A,$B436,'15'!E:E)+SUMIF('17'!$A:$A,$B436,'17'!E:E)+SUMIF('20'!$A:$A,$B436,'20'!E:E)+SUMIF('30'!$A:$A,$B436,'30'!E:E)+SUMIF('35'!$A:$A,$B436,'35'!E:E)+SUMIF('40'!$A:$A,$B436,'40'!E:E)+SUMIF('45'!$A:$A,$B436,'45'!E:E)</f>
        <v>0</v>
      </c>
      <c r="H436" s="61">
        <f>SUMIF('05'!$A:$A,$B436,'05'!F:F)+SUMIF('07'!$A:$A,$B436,'07'!F:F)+SUMIF('08'!$A:$A,$B436,'08'!F:F)+SUMIF('09'!$A:$A,$B436,'09'!F:F)+SUMIF('10'!$A:$A,$B436,'10'!F:F)+SUMIF('11'!$A:$A,$B436,'11'!F:F)+SUMIF('12'!$A:$A,$B436,'12'!F:F)+SUMIF('13'!$A:$A,$B436,'13'!F:F)+SUMIF('15'!$A:$A,$B436,'15'!F:F)+SUMIF('17'!$A:$A,$B436,'17'!F:F)+SUMIF('20'!$A:$A,$B436,'20'!F:F)+SUMIF('30'!$A:$A,$B436,'30'!F:F)+SUMIF('35'!$A:$A,$B436,'35'!F:F)+SUMIF('40'!$A:$A,$B436,'40'!F:F)+SUMIF('45'!$A:$A,$B436,'45'!F:F)</f>
        <v>0</v>
      </c>
      <c r="I436" s="61">
        <f>SUMIF('05'!$A:$A,$B436,'05'!G:G)+SUMIF('07'!$A:$A,$B436,'07'!G:G)+SUMIF('08'!$A:$A,$B436,'08'!G:G)+SUMIF('09'!$A:$A,$B436,'09'!G:G)+SUMIF('10'!$A:$A,$B436,'10'!G:G)+SUMIF('11'!$A:$A,$B436,'11'!G:G)+SUMIF('12'!$A:$A,$B436,'12'!G:G)+SUMIF('13'!$A:$A,$B436,'13'!G:G)+SUMIF('15'!$A:$A,$B436,'15'!G:G)+SUMIF('17'!$A:$A,$B436,'17'!G:G)+SUMIF('20'!$A:$A,$B436,'20'!G:G)+SUMIF('30'!$A:$A,$B436,'30'!G:G)+SUMIF('35'!$A:$A,$B436,'35'!G:G)+SUMIF('40'!$A:$A,$B436,'40'!G:G)+SUMIF('45'!$A:$A,$B436,'45'!G:G)</f>
        <v>0</v>
      </c>
      <c r="J436" s="61">
        <f>SUMIF('05'!$A:$A,$B436,'05'!H:H)+SUMIF('07'!$A:$A,$B436,'07'!H:H)+SUMIF('08'!$A:$A,$B436,'08'!H:H)+SUMIF('09'!$A:$A,$B436,'09'!H:H)+SUMIF('10'!$A:$A,$B436,'10'!H:H)+SUMIF('11'!$A:$A,$B436,'11'!H:H)+SUMIF('12'!$A:$A,$B436,'12'!H:H)+SUMIF('13'!$A:$A,$B436,'13'!H:H)+SUMIF('15'!$A:$A,$B436,'15'!H:H)+SUMIF('17'!$A:$A,$B436,'17'!H:H)+SUMIF('20'!$A:$A,$B436,'20'!H:H)+SUMIF('30'!$A:$A,$B436,'30'!H:H)+SUMIF('35'!$A:$A,$B436,'35'!H:H)+SUMIF('40'!$A:$A,$B436,'40'!H:H)+SUMIF('45'!$A:$A,$B436,'45'!H:H)</f>
        <v>0</v>
      </c>
      <c r="K436" s="61">
        <f>SUMIF('05'!$A:$A,$B436,'05'!I:I)+SUMIF('07'!$A:$A,$B436,'07'!I:I)+SUMIF('08'!$A:$A,$B436,'08'!I:I)+SUMIF('09'!$A:$A,$B436,'09'!I:I)+SUMIF('10'!$A:$A,$B436,'10'!I:I)+SUMIF('11'!$A:$A,$B436,'11'!I:I)+SUMIF('12'!$A:$A,$B436,'12'!I:I)+SUMIF('13'!$A:$A,$B436,'13'!I:I)+SUMIF('15'!$A:$A,$B436,'15'!I:I)+SUMIF('17'!$A:$A,$B436,'17'!I:I)+SUMIF('20'!$A:$A,$B436,'20'!I:I)+SUMIF('30'!$A:$A,$B436,'30'!I:I)+SUMIF('35'!$A:$A,$B436,'35'!I:I)+SUMIF('40'!$A:$A,$B436,'40'!I:I)+SUMIF('45'!$A:$A,$B436,'45'!I:I)</f>
        <v>0</v>
      </c>
      <c r="L436" s="61">
        <f>SUMIF('05'!$A:$A,$B436,'05'!J:J)+SUMIF('07'!$A:$A,$B436,'07'!J:J)+SUMIF('08'!$A:$A,$B436,'08'!J:J)+SUMIF('09'!$A:$A,$B436,'09'!J:J)+SUMIF('10'!$A:$A,$B436,'10'!J:J)+SUMIF('11'!$A:$A,$B436,'11'!J:J)+SUMIF('12'!$A:$A,$B436,'12'!J:J)+SUMIF('13'!$A:$A,$B436,'13'!J:J)+SUMIF('15'!$A:$A,$B436,'15'!J:J)+SUMIF('17'!$A:$A,$B436,'17'!J:J)+SUMIF('20'!$A:$A,$B436,'20'!J:J)+SUMIF('30'!$A:$A,$B436,'30'!J:J)+SUMIF('35'!$A:$A,$B436,'35'!J:J)+SUMIF('40'!$A:$A,$B436,'40'!J:J)+SUMIF('45'!$A:$A,$B436,'45'!J:J)</f>
        <v>0</v>
      </c>
    </row>
    <row r="437" spans="2:12" x14ac:dyDescent="0.2">
      <c r="B437" s="37">
        <v>220</v>
      </c>
      <c r="C437" s="37"/>
      <c r="D437" s="56" t="s">
        <v>204</v>
      </c>
      <c r="E437" s="50"/>
      <c r="F437" s="50"/>
      <c r="G437" s="61">
        <f>SUMIF('05'!$A:$A,$B437,'05'!E:E)+SUMIF('07'!$A:$A,$B437,'07'!E:E)+SUMIF('08'!$A:$A,$B437,'08'!E:E)+SUMIF('09'!$A:$A,$B437,'09'!E:E)+SUMIF('10'!$A:$A,$B437,'10'!E:E)+SUMIF('11'!$A:$A,$B437,'11'!E:E)+SUMIF('12'!$A:$A,$B437,'12'!E:E)+SUMIF('13'!$A:$A,$B437,'13'!E:E)+SUMIF('15'!$A:$A,$B437,'15'!E:E)+SUMIF('17'!$A:$A,$B437,'17'!E:E)+SUMIF('20'!$A:$A,$B437,'20'!E:E)+SUMIF('30'!$A:$A,$B437,'30'!E:E)+SUMIF('35'!$A:$A,$B437,'35'!E:E)+SUMIF('40'!$A:$A,$B437,'40'!E:E)+SUMIF('45'!$A:$A,$B437,'45'!E:E)</f>
        <v>34270.089999999997</v>
      </c>
      <c r="H437" s="61">
        <f>SUMIF('05'!$A:$A,$B437,'05'!F:F)+SUMIF('07'!$A:$A,$B437,'07'!F:F)+SUMIF('08'!$A:$A,$B437,'08'!F:F)+SUMIF('09'!$A:$A,$B437,'09'!F:F)+SUMIF('10'!$A:$A,$B437,'10'!F:F)+SUMIF('11'!$A:$A,$B437,'11'!F:F)+SUMIF('12'!$A:$A,$B437,'12'!F:F)+SUMIF('13'!$A:$A,$B437,'13'!F:F)+SUMIF('15'!$A:$A,$B437,'15'!F:F)+SUMIF('17'!$A:$A,$B437,'17'!F:F)+SUMIF('20'!$A:$A,$B437,'20'!F:F)+SUMIF('30'!$A:$A,$B437,'30'!F:F)+SUMIF('35'!$A:$A,$B437,'35'!F:F)+SUMIF('40'!$A:$A,$B437,'40'!F:F)+SUMIF('45'!$A:$A,$B437,'45'!F:F)</f>
        <v>64300</v>
      </c>
      <c r="I437" s="61">
        <f>SUMIF('05'!$A:$A,$B437,'05'!G:G)+SUMIF('07'!$A:$A,$B437,'07'!G:G)+SUMIF('08'!$A:$A,$B437,'08'!G:G)+SUMIF('09'!$A:$A,$B437,'09'!G:G)+SUMIF('10'!$A:$A,$B437,'10'!G:G)+SUMIF('11'!$A:$A,$B437,'11'!G:G)+SUMIF('12'!$A:$A,$B437,'12'!G:G)+SUMIF('13'!$A:$A,$B437,'13'!G:G)+SUMIF('15'!$A:$A,$B437,'15'!G:G)+SUMIF('17'!$A:$A,$B437,'17'!G:G)+SUMIF('20'!$A:$A,$B437,'20'!G:G)+SUMIF('30'!$A:$A,$B437,'30'!G:G)+SUMIF('35'!$A:$A,$B437,'35'!G:G)+SUMIF('40'!$A:$A,$B437,'40'!G:G)+SUMIF('45'!$A:$A,$B437,'45'!G:G)</f>
        <v>64100</v>
      </c>
      <c r="J437" s="61">
        <f>SUMIF('05'!$A:$A,$B437,'05'!H:H)+SUMIF('07'!$A:$A,$B437,'07'!H:H)+SUMIF('08'!$A:$A,$B437,'08'!H:H)+SUMIF('09'!$A:$A,$B437,'09'!H:H)+SUMIF('10'!$A:$A,$B437,'10'!H:H)+SUMIF('11'!$A:$A,$B437,'11'!H:H)+SUMIF('12'!$A:$A,$B437,'12'!H:H)+SUMIF('13'!$A:$A,$B437,'13'!H:H)+SUMIF('15'!$A:$A,$B437,'15'!H:H)+SUMIF('17'!$A:$A,$B437,'17'!H:H)+SUMIF('20'!$A:$A,$B437,'20'!H:H)+SUMIF('30'!$A:$A,$B437,'30'!H:H)+SUMIF('35'!$A:$A,$B437,'35'!H:H)+SUMIF('40'!$A:$A,$B437,'40'!H:H)+SUMIF('45'!$A:$A,$B437,'45'!H:H)</f>
        <v>66600</v>
      </c>
      <c r="K437" s="61">
        <f>SUMIF('05'!$A:$A,$B437,'05'!I:I)+SUMIF('07'!$A:$A,$B437,'07'!I:I)+SUMIF('08'!$A:$A,$B437,'08'!I:I)+SUMIF('09'!$A:$A,$B437,'09'!I:I)+SUMIF('10'!$A:$A,$B437,'10'!I:I)+SUMIF('11'!$A:$A,$B437,'11'!I:I)+SUMIF('12'!$A:$A,$B437,'12'!I:I)+SUMIF('13'!$A:$A,$B437,'13'!I:I)+SUMIF('15'!$A:$A,$B437,'15'!I:I)+SUMIF('17'!$A:$A,$B437,'17'!I:I)+SUMIF('20'!$A:$A,$B437,'20'!I:I)+SUMIF('30'!$A:$A,$B437,'30'!I:I)+SUMIF('35'!$A:$A,$B437,'35'!I:I)+SUMIF('40'!$A:$A,$B437,'40'!I:I)+SUMIF('45'!$A:$A,$B437,'45'!I:I)</f>
        <v>66600</v>
      </c>
      <c r="L437" s="61">
        <f>SUMIF('05'!$A:$A,$B437,'05'!J:J)+SUMIF('07'!$A:$A,$B437,'07'!J:J)+SUMIF('08'!$A:$A,$B437,'08'!J:J)+SUMIF('09'!$A:$A,$B437,'09'!J:J)+SUMIF('10'!$A:$A,$B437,'10'!J:J)+SUMIF('11'!$A:$A,$B437,'11'!J:J)+SUMIF('12'!$A:$A,$B437,'12'!J:J)+SUMIF('13'!$A:$A,$B437,'13'!J:J)+SUMIF('15'!$A:$A,$B437,'15'!J:J)+SUMIF('17'!$A:$A,$B437,'17'!J:J)+SUMIF('20'!$A:$A,$B437,'20'!J:J)+SUMIF('30'!$A:$A,$B437,'30'!J:J)+SUMIF('35'!$A:$A,$B437,'35'!J:J)+SUMIF('40'!$A:$A,$B437,'40'!J:J)+SUMIF('45'!$A:$A,$B437,'45'!J:J)</f>
        <v>66600</v>
      </c>
    </row>
    <row r="438" spans="2:12" x14ac:dyDescent="0.2">
      <c r="B438" s="37">
        <v>222</v>
      </c>
      <c r="C438" s="37"/>
      <c r="D438" s="56" t="s">
        <v>205</v>
      </c>
      <c r="E438" s="50"/>
      <c r="F438" s="50"/>
      <c r="G438" s="61">
        <f>SUMIF('05'!$A:$A,$B438,'05'!E:E)+SUMIF('07'!$A:$A,$B438,'07'!E:E)+SUMIF('08'!$A:$A,$B438,'08'!E:E)+SUMIF('09'!$A:$A,$B438,'09'!E:E)+SUMIF('10'!$A:$A,$B438,'10'!E:E)+SUMIF('11'!$A:$A,$B438,'11'!E:E)+SUMIF('12'!$A:$A,$B438,'12'!E:E)+SUMIF('13'!$A:$A,$B438,'13'!E:E)+SUMIF('15'!$A:$A,$B438,'15'!E:E)+SUMIF('17'!$A:$A,$B438,'17'!E:E)+SUMIF('20'!$A:$A,$B438,'20'!E:E)+SUMIF('30'!$A:$A,$B438,'30'!E:E)+SUMIF('35'!$A:$A,$B438,'35'!E:E)+SUMIF('40'!$A:$A,$B438,'40'!E:E)+SUMIF('45'!$A:$A,$B438,'45'!E:E)</f>
        <v>840517.05999999994</v>
      </c>
      <c r="H438" s="61">
        <f>SUMIF('05'!$A:$A,$B438,'05'!F:F)+SUMIF('07'!$A:$A,$B438,'07'!F:F)+SUMIF('08'!$A:$A,$B438,'08'!F:F)+SUMIF('09'!$A:$A,$B438,'09'!F:F)+SUMIF('10'!$A:$A,$B438,'10'!F:F)+SUMIF('11'!$A:$A,$B438,'11'!F:F)+SUMIF('12'!$A:$A,$B438,'12'!F:F)+SUMIF('13'!$A:$A,$B438,'13'!F:F)+SUMIF('15'!$A:$A,$B438,'15'!F:F)+SUMIF('17'!$A:$A,$B438,'17'!F:F)+SUMIF('20'!$A:$A,$B438,'20'!F:F)+SUMIF('30'!$A:$A,$B438,'30'!F:F)+SUMIF('35'!$A:$A,$B438,'35'!F:F)+SUMIF('40'!$A:$A,$B438,'40'!F:F)+SUMIF('45'!$A:$A,$B438,'45'!F:F)</f>
        <v>824700</v>
      </c>
      <c r="I438" s="61">
        <f>SUMIF('05'!$A:$A,$B438,'05'!G:G)+SUMIF('07'!$A:$A,$B438,'07'!G:G)+SUMIF('08'!$A:$A,$B438,'08'!G:G)+SUMIF('09'!$A:$A,$B438,'09'!G:G)+SUMIF('10'!$A:$A,$B438,'10'!G:G)+SUMIF('11'!$A:$A,$B438,'11'!G:G)+SUMIF('12'!$A:$A,$B438,'12'!G:G)+SUMIF('13'!$A:$A,$B438,'13'!G:G)+SUMIF('15'!$A:$A,$B438,'15'!G:G)+SUMIF('17'!$A:$A,$B438,'17'!G:G)+SUMIF('20'!$A:$A,$B438,'20'!G:G)+SUMIF('30'!$A:$A,$B438,'30'!G:G)+SUMIF('35'!$A:$A,$B438,'35'!G:G)+SUMIF('40'!$A:$A,$B438,'40'!G:G)+SUMIF('45'!$A:$A,$B438,'45'!G:G)</f>
        <v>934000</v>
      </c>
      <c r="J438" s="61">
        <f>SUMIF('05'!$A:$A,$B438,'05'!H:H)+SUMIF('07'!$A:$A,$B438,'07'!H:H)+SUMIF('08'!$A:$A,$B438,'08'!H:H)+SUMIF('09'!$A:$A,$B438,'09'!H:H)+SUMIF('10'!$A:$A,$B438,'10'!H:H)+SUMIF('11'!$A:$A,$B438,'11'!H:H)+SUMIF('12'!$A:$A,$B438,'12'!H:H)+SUMIF('13'!$A:$A,$B438,'13'!H:H)+SUMIF('15'!$A:$A,$B438,'15'!H:H)+SUMIF('17'!$A:$A,$B438,'17'!H:H)+SUMIF('20'!$A:$A,$B438,'20'!H:H)+SUMIF('30'!$A:$A,$B438,'30'!H:H)+SUMIF('35'!$A:$A,$B438,'35'!H:H)+SUMIF('40'!$A:$A,$B438,'40'!H:H)+SUMIF('45'!$A:$A,$B438,'45'!H:H)</f>
        <v>798200</v>
      </c>
      <c r="K438" s="61">
        <f>SUMIF('05'!$A:$A,$B438,'05'!I:I)+SUMIF('07'!$A:$A,$B438,'07'!I:I)+SUMIF('08'!$A:$A,$B438,'08'!I:I)+SUMIF('09'!$A:$A,$B438,'09'!I:I)+SUMIF('10'!$A:$A,$B438,'10'!I:I)+SUMIF('11'!$A:$A,$B438,'11'!I:I)+SUMIF('12'!$A:$A,$B438,'12'!I:I)+SUMIF('13'!$A:$A,$B438,'13'!I:I)+SUMIF('15'!$A:$A,$B438,'15'!I:I)+SUMIF('17'!$A:$A,$B438,'17'!I:I)+SUMIF('20'!$A:$A,$B438,'20'!I:I)+SUMIF('30'!$A:$A,$B438,'30'!I:I)+SUMIF('35'!$A:$A,$B438,'35'!I:I)+SUMIF('40'!$A:$A,$B438,'40'!I:I)+SUMIF('45'!$A:$A,$B438,'45'!I:I)</f>
        <v>798200</v>
      </c>
      <c r="L438" s="61">
        <f>SUMIF('05'!$A:$A,$B438,'05'!J:J)+SUMIF('07'!$A:$A,$B438,'07'!J:J)+SUMIF('08'!$A:$A,$B438,'08'!J:J)+SUMIF('09'!$A:$A,$B438,'09'!J:J)+SUMIF('10'!$A:$A,$B438,'10'!J:J)+SUMIF('11'!$A:$A,$B438,'11'!J:J)+SUMIF('12'!$A:$A,$B438,'12'!J:J)+SUMIF('13'!$A:$A,$B438,'13'!J:J)+SUMIF('15'!$A:$A,$B438,'15'!J:J)+SUMIF('17'!$A:$A,$B438,'17'!J:J)+SUMIF('20'!$A:$A,$B438,'20'!J:J)+SUMIF('30'!$A:$A,$B438,'30'!J:J)+SUMIF('35'!$A:$A,$B438,'35'!J:J)+SUMIF('40'!$A:$A,$B438,'40'!J:J)+SUMIF('45'!$A:$A,$B438,'45'!J:J)</f>
        <v>798200</v>
      </c>
    </row>
    <row r="439" spans="2:12" x14ac:dyDescent="0.2">
      <c r="B439" s="37">
        <v>224</v>
      </c>
      <c r="C439" s="37"/>
      <c r="D439" s="56" t="s">
        <v>206</v>
      </c>
      <c r="E439" s="50"/>
      <c r="F439" s="50"/>
      <c r="G439" s="61">
        <f>SUMIF('05'!$A:$A,$B439,'05'!E:E)+SUMIF('07'!$A:$A,$B439,'07'!E:E)+SUMIF('08'!$A:$A,$B439,'08'!E:E)+SUMIF('09'!$A:$A,$B439,'09'!E:E)+SUMIF('10'!$A:$A,$B439,'10'!E:E)+SUMIF('11'!$A:$A,$B439,'11'!E:E)+SUMIF('12'!$A:$A,$B439,'12'!E:E)+SUMIF('13'!$A:$A,$B439,'13'!E:E)+SUMIF('15'!$A:$A,$B439,'15'!E:E)+SUMIF('17'!$A:$A,$B439,'17'!E:E)+SUMIF('20'!$A:$A,$B439,'20'!E:E)+SUMIF('30'!$A:$A,$B439,'30'!E:E)+SUMIF('35'!$A:$A,$B439,'35'!E:E)+SUMIF('40'!$A:$A,$B439,'40'!E:E)+SUMIF('45'!$A:$A,$B439,'45'!E:E)</f>
        <v>2743068.7999999993</v>
      </c>
      <c r="H439" s="61">
        <f>SUMIF('05'!$A:$A,$B439,'05'!F:F)+SUMIF('07'!$A:$A,$B439,'07'!F:F)+SUMIF('08'!$A:$A,$B439,'08'!F:F)+SUMIF('09'!$A:$A,$B439,'09'!F:F)+SUMIF('10'!$A:$A,$B439,'10'!F:F)+SUMIF('11'!$A:$A,$B439,'11'!F:F)+SUMIF('12'!$A:$A,$B439,'12'!F:F)+SUMIF('13'!$A:$A,$B439,'13'!F:F)+SUMIF('15'!$A:$A,$B439,'15'!F:F)+SUMIF('17'!$A:$A,$B439,'17'!F:F)+SUMIF('20'!$A:$A,$B439,'20'!F:F)+SUMIF('30'!$A:$A,$B439,'30'!F:F)+SUMIF('35'!$A:$A,$B439,'35'!F:F)+SUMIF('40'!$A:$A,$B439,'40'!F:F)+SUMIF('45'!$A:$A,$B439,'45'!F:F)</f>
        <v>3379900</v>
      </c>
      <c r="I439" s="61">
        <f>SUMIF('05'!$A:$A,$B439,'05'!G:G)+SUMIF('07'!$A:$A,$B439,'07'!G:G)+SUMIF('08'!$A:$A,$B439,'08'!G:G)+SUMIF('09'!$A:$A,$B439,'09'!G:G)+SUMIF('10'!$A:$A,$B439,'10'!G:G)+SUMIF('11'!$A:$A,$B439,'11'!G:G)+SUMIF('12'!$A:$A,$B439,'12'!G:G)+SUMIF('13'!$A:$A,$B439,'13'!G:G)+SUMIF('15'!$A:$A,$B439,'15'!G:G)+SUMIF('17'!$A:$A,$B439,'17'!G:G)+SUMIF('20'!$A:$A,$B439,'20'!G:G)+SUMIF('30'!$A:$A,$B439,'30'!G:G)+SUMIF('35'!$A:$A,$B439,'35'!G:G)+SUMIF('40'!$A:$A,$B439,'40'!G:G)+SUMIF('45'!$A:$A,$B439,'45'!G:G)</f>
        <v>3052700</v>
      </c>
      <c r="J439" s="61">
        <f>SUMIF('05'!$A:$A,$B439,'05'!H:H)+SUMIF('07'!$A:$A,$B439,'07'!H:H)+SUMIF('08'!$A:$A,$B439,'08'!H:H)+SUMIF('09'!$A:$A,$B439,'09'!H:H)+SUMIF('10'!$A:$A,$B439,'10'!H:H)+SUMIF('11'!$A:$A,$B439,'11'!H:H)+SUMIF('12'!$A:$A,$B439,'12'!H:H)+SUMIF('13'!$A:$A,$B439,'13'!H:H)+SUMIF('15'!$A:$A,$B439,'15'!H:H)+SUMIF('17'!$A:$A,$B439,'17'!H:H)+SUMIF('20'!$A:$A,$B439,'20'!H:H)+SUMIF('30'!$A:$A,$B439,'30'!H:H)+SUMIF('35'!$A:$A,$B439,'35'!H:H)+SUMIF('40'!$A:$A,$B439,'40'!H:H)+SUMIF('45'!$A:$A,$B439,'45'!H:H)</f>
        <v>3069200</v>
      </c>
      <c r="K439" s="61">
        <f>SUMIF('05'!$A:$A,$B439,'05'!I:I)+SUMIF('07'!$A:$A,$B439,'07'!I:I)+SUMIF('08'!$A:$A,$B439,'08'!I:I)+SUMIF('09'!$A:$A,$B439,'09'!I:I)+SUMIF('10'!$A:$A,$B439,'10'!I:I)+SUMIF('11'!$A:$A,$B439,'11'!I:I)+SUMIF('12'!$A:$A,$B439,'12'!I:I)+SUMIF('13'!$A:$A,$B439,'13'!I:I)+SUMIF('15'!$A:$A,$B439,'15'!I:I)+SUMIF('17'!$A:$A,$B439,'17'!I:I)+SUMIF('20'!$A:$A,$B439,'20'!I:I)+SUMIF('30'!$A:$A,$B439,'30'!I:I)+SUMIF('35'!$A:$A,$B439,'35'!I:I)+SUMIF('40'!$A:$A,$B439,'40'!I:I)+SUMIF('45'!$A:$A,$B439,'45'!I:I)</f>
        <v>3069200</v>
      </c>
      <c r="L439" s="61">
        <f>SUMIF('05'!$A:$A,$B439,'05'!J:J)+SUMIF('07'!$A:$A,$B439,'07'!J:J)+SUMIF('08'!$A:$A,$B439,'08'!J:J)+SUMIF('09'!$A:$A,$B439,'09'!J:J)+SUMIF('10'!$A:$A,$B439,'10'!J:J)+SUMIF('11'!$A:$A,$B439,'11'!J:J)+SUMIF('12'!$A:$A,$B439,'12'!J:J)+SUMIF('13'!$A:$A,$B439,'13'!J:J)+SUMIF('15'!$A:$A,$B439,'15'!J:J)+SUMIF('17'!$A:$A,$B439,'17'!J:J)+SUMIF('20'!$A:$A,$B439,'20'!J:J)+SUMIF('30'!$A:$A,$B439,'30'!J:J)+SUMIF('35'!$A:$A,$B439,'35'!J:J)+SUMIF('40'!$A:$A,$B439,'40'!J:J)+SUMIF('45'!$A:$A,$B439,'45'!J:J)</f>
        <v>3069200</v>
      </c>
    </row>
    <row r="440" spans="2:12" x14ac:dyDescent="0.2">
      <c r="B440" s="37">
        <v>226</v>
      </c>
      <c r="C440" s="37"/>
      <c r="D440" s="56" t="s">
        <v>207</v>
      </c>
      <c r="E440" s="50"/>
      <c r="F440" s="50"/>
      <c r="G440" s="61">
        <f>SUMIF('05'!$A:$A,$B440,'05'!E:E)+SUMIF('07'!$A:$A,$B440,'07'!E:E)+SUMIF('08'!$A:$A,$B440,'08'!E:E)+SUMIF('09'!$A:$A,$B440,'09'!E:E)+SUMIF('10'!$A:$A,$B440,'10'!E:E)+SUMIF('11'!$A:$A,$B440,'11'!E:E)+SUMIF('12'!$A:$A,$B440,'12'!E:E)+SUMIF('13'!$A:$A,$B440,'13'!E:E)+SUMIF('15'!$A:$A,$B440,'15'!E:E)+SUMIF('17'!$A:$A,$B440,'17'!E:E)+SUMIF('20'!$A:$A,$B440,'20'!E:E)+SUMIF('30'!$A:$A,$B440,'30'!E:E)+SUMIF('35'!$A:$A,$B440,'35'!E:E)+SUMIF('40'!$A:$A,$B440,'40'!E:E)+SUMIF('45'!$A:$A,$B440,'45'!E:E)</f>
        <v>782859.67999999993</v>
      </c>
      <c r="H440" s="61">
        <f>SUMIF('05'!$A:$A,$B440,'05'!F:F)+SUMIF('07'!$A:$A,$B440,'07'!F:F)+SUMIF('08'!$A:$A,$B440,'08'!F:F)+SUMIF('09'!$A:$A,$B440,'09'!F:F)+SUMIF('10'!$A:$A,$B440,'10'!F:F)+SUMIF('11'!$A:$A,$B440,'11'!F:F)+SUMIF('12'!$A:$A,$B440,'12'!F:F)+SUMIF('13'!$A:$A,$B440,'13'!F:F)+SUMIF('15'!$A:$A,$B440,'15'!F:F)+SUMIF('17'!$A:$A,$B440,'17'!F:F)+SUMIF('20'!$A:$A,$B440,'20'!F:F)+SUMIF('30'!$A:$A,$B440,'30'!F:F)+SUMIF('35'!$A:$A,$B440,'35'!F:F)+SUMIF('40'!$A:$A,$B440,'40'!F:F)+SUMIF('45'!$A:$A,$B440,'45'!F:F)</f>
        <v>884700</v>
      </c>
      <c r="I440" s="61">
        <f>SUMIF('05'!$A:$A,$B440,'05'!G:G)+SUMIF('07'!$A:$A,$B440,'07'!G:G)+SUMIF('08'!$A:$A,$B440,'08'!G:G)+SUMIF('09'!$A:$A,$B440,'09'!G:G)+SUMIF('10'!$A:$A,$B440,'10'!G:G)+SUMIF('11'!$A:$A,$B440,'11'!G:G)+SUMIF('12'!$A:$A,$B440,'12'!G:G)+SUMIF('13'!$A:$A,$B440,'13'!G:G)+SUMIF('15'!$A:$A,$B440,'15'!G:G)+SUMIF('17'!$A:$A,$B440,'17'!G:G)+SUMIF('20'!$A:$A,$B440,'20'!G:G)+SUMIF('30'!$A:$A,$B440,'30'!G:G)+SUMIF('35'!$A:$A,$B440,'35'!G:G)+SUMIF('40'!$A:$A,$B440,'40'!G:G)+SUMIF('45'!$A:$A,$B440,'45'!G:G)</f>
        <v>893900</v>
      </c>
      <c r="J440" s="61">
        <f>SUMIF('05'!$A:$A,$B440,'05'!H:H)+SUMIF('07'!$A:$A,$B440,'07'!H:H)+SUMIF('08'!$A:$A,$B440,'08'!H:H)+SUMIF('09'!$A:$A,$B440,'09'!H:H)+SUMIF('10'!$A:$A,$B440,'10'!H:H)+SUMIF('11'!$A:$A,$B440,'11'!H:H)+SUMIF('12'!$A:$A,$B440,'12'!H:H)+SUMIF('13'!$A:$A,$B440,'13'!H:H)+SUMIF('15'!$A:$A,$B440,'15'!H:H)+SUMIF('17'!$A:$A,$B440,'17'!H:H)+SUMIF('20'!$A:$A,$B440,'20'!H:H)+SUMIF('30'!$A:$A,$B440,'30'!H:H)+SUMIF('35'!$A:$A,$B440,'35'!H:H)+SUMIF('40'!$A:$A,$B440,'40'!H:H)+SUMIF('45'!$A:$A,$B440,'45'!H:H)</f>
        <v>911500</v>
      </c>
      <c r="K440" s="61">
        <f>SUMIF('05'!$A:$A,$B440,'05'!I:I)+SUMIF('07'!$A:$A,$B440,'07'!I:I)+SUMIF('08'!$A:$A,$B440,'08'!I:I)+SUMIF('09'!$A:$A,$B440,'09'!I:I)+SUMIF('10'!$A:$A,$B440,'10'!I:I)+SUMIF('11'!$A:$A,$B440,'11'!I:I)+SUMIF('12'!$A:$A,$B440,'12'!I:I)+SUMIF('13'!$A:$A,$B440,'13'!I:I)+SUMIF('15'!$A:$A,$B440,'15'!I:I)+SUMIF('17'!$A:$A,$B440,'17'!I:I)+SUMIF('20'!$A:$A,$B440,'20'!I:I)+SUMIF('30'!$A:$A,$B440,'30'!I:I)+SUMIF('35'!$A:$A,$B440,'35'!I:I)+SUMIF('40'!$A:$A,$B440,'40'!I:I)+SUMIF('45'!$A:$A,$B440,'45'!I:I)</f>
        <v>911500</v>
      </c>
      <c r="L440" s="61">
        <f>SUMIF('05'!$A:$A,$B440,'05'!J:J)+SUMIF('07'!$A:$A,$B440,'07'!J:J)+SUMIF('08'!$A:$A,$B440,'08'!J:J)+SUMIF('09'!$A:$A,$B440,'09'!J:J)+SUMIF('10'!$A:$A,$B440,'10'!J:J)+SUMIF('11'!$A:$A,$B440,'11'!J:J)+SUMIF('12'!$A:$A,$B440,'12'!J:J)+SUMIF('13'!$A:$A,$B440,'13'!J:J)+SUMIF('15'!$A:$A,$B440,'15'!J:J)+SUMIF('17'!$A:$A,$B440,'17'!J:J)+SUMIF('20'!$A:$A,$B440,'20'!J:J)+SUMIF('30'!$A:$A,$B440,'30'!J:J)+SUMIF('35'!$A:$A,$B440,'35'!J:J)+SUMIF('40'!$A:$A,$B440,'40'!J:J)+SUMIF('45'!$A:$A,$B440,'45'!J:J)</f>
        <v>911500</v>
      </c>
    </row>
    <row r="441" spans="2:12" x14ac:dyDescent="0.2">
      <c r="B441" s="37">
        <v>228</v>
      </c>
      <c r="C441" s="37"/>
      <c r="D441" s="56" t="s">
        <v>208</v>
      </c>
      <c r="E441" s="50"/>
      <c r="F441" s="50"/>
      <c r="G441" s="61">
        <f>SUMIF('05'!$A:$A,$B441,'05'!E:E)+SUMIF('07'!$A:$A,$B441,'07'!E:E)+SUMIF('08'!$A:$A,$B441,'08'!E:E)+SUMIF('09'!$A:$A,$B441,'09'!E:E)+SUMIF('10'!$A:$A,$B441,'10'!E:E)+SUMIF('11'!$A:$A,$B441,'11'!E:E)+SUMIF('12'!$A:$A,$B441,'12'!E:E)+SUMIF('13'!$A:$A,$B441,'13'!E:E)+SUMIF('15'!$A:$A,$B441,'15'!E:E)+SUMIF('17'!$A:$A,$B441,'17'!E:E)+SUMIF('20'!$A:$A,$B441,'20'!E:E)+SUMIF('30'!$A:$A,$B441,'30'!E:E)+SUMIF('35'!$A:$A,$B441,'35'!E:E)+SUMIF('40'!$A:$A,$B441,'40'!E:E)+SUMIF('45'!$A:$A,$B441,'45'!E:E)</f>
        <v>2372990.4900000002</v>
      </c>
      <c r="H441" s="61">
        <f>SUMIF('05'!$A:$A,$B441,'05'!F:F)+SUMIF('07'!$A:$A,$B441,'07'!F:F)+SUMIF('08'!$A:$A,$B441,'08'!F:F)+SUMIF('09'!$A:$A,$B441,'09'!F:F)+SUMIF('10'!$A:$A,$B441,'10'!F:F)+SUMIF('11'!$A:$A,$B441,'11'!F:F)+SUMIF('12'!$A:$A,$B441,'12'!F:F)+SUMIF('13'!$A:$A,$B441,'13'!F:F)+SUMIF('15'!$A:$A,$B441,'15'!F:F)+SUMIF('17'!$A:$A,$B441,'17'!F:F)+SUMIF('20'!$A:$A,$B441,'20'!F:F)+SUMIF('30'!$A:$A,$B441,'30'!F:F)+SUMIF('35'!$A:$A,$B441,'35'!F:F)+SUMIF('40'!$A:$A,$B441,'40'!F:F)+SUMIF('45'!$A:$A,$B441,'45'!F:F)</f>
        <v>2003500</v>
      </c>
      <c r="I441" s="61">
        <f>SUMIF('05'!$A:$A,$B441,'05'!G:G)+SUMIF('07'!$A:$A,$B441,'07'!G:G)+SUMIF('08'!$A:$A,$B441,'08'!G:G)+SUMIF('09'!$A:$A,$B441,'09'!G:G)+SUMIF('10'!$A:$A,$B441,'10'!G:G)+SUMIF('11'!$A:$A,$B441,'11'!G:G)+SUMIF('12'!$A:$A,$B441,'12'!G:G)+SUMIF('13'!$A:$A,$B441,'13'!G:G)+SUMIF('15'!$A:$A,$B441,'15'!G:G)+SUMIF('17'!$A:$A,$B441,'17'!G:G)+SUMIF('20'!$A:$A,$B441,'20'!G:G)+SUMIF('30'!$A:$A,$B441,'30'!G:G)+SUMIF('35'!$A:$A,$B441,'35'!G:G)+SUMIF('40'!$A:$A,$B441,'40'!G:G)+SUMIF('45'!$A:$A,$B441,'45'!G:G)</f>
        <v>2833400</v>
      </c>
      <c r="J441" s="61">
        <f>SUMIF('05'!$A:$A,$B441,'05'!H:H)+SUMIF('07'!$A:$A,$B441,'07'!H:H)+SUMIF('08'!$A:$A,$B441,'08'!H:H)+SUMIF('09'!$A:$A,$B441,'09'!H:H)+SUMIF('10'!$A:$A,$B441,'10'!H:H)+SUMIF('11'!$A:$A,$B441,'11'!H:H)+SUMIF('12'!$A:$A,$B441,'12'!H:H)+SUMIF('13'!$A:$A,$B441,'13'!H:H)+SUMIF('15'!$A:$A,$B441,'15'!H:H)+SUMIF('17'!$A:$A,$B441,'17'!H:H)+SUMIF('20'!$A:$A,$B441,'20'!H:H)+SUMIF('30'!$A:$A,$B441,'30'!H:H)+SUMIF('35'!$A:$A,$B441,'35'!H:H)+SUMIF('40'!$A:$A,$B441,'40'!H:H)+SUMIF('45'!$A:$A,$B441,'45'!H:H)</f>
        <v>2911600</v>
      </c>
      <c r="K441" s="61">
        <f>SUMIF('05'!$A:$A,$B441,'05'!I:I)+SUMIF('07'!$A:$A,$B441,'07'!I:I)+SUMIF('08'!$A:$A,$B441,'08'!I:I)+SUMIF('09'!$A:$A,$B441,'09'!I:I)+SUMIF('10'!$A:$A,$B441,'10'!I:I)+SUMIF('11'!$A:$A,$B441,'11'!I:I)+SUMIF('12'!$A:$A,$B441,'12'!I:I)+SUMIF('13'!$A:$A,$B441,'13'!I:I)+SUMIF('15'!$A:$A,$B441,'15'!I:I)+SUMIF('17'!$A:$A,$B441,'17'!I:I)+SUMIF('20'!$A:$A,$B441,'20'!I:I)+SUMIF('30'!$A:$A,$B441,'30'!I:I)+SUMIF('35'!$A:$A,$B441,'35'!I:I)+SUMIF('40'!$A:$A,$B441,'40'!I:I)+SUMIF('45'!$A:$A,$B441,'45'!I:I)</f>
        <v>2908100</v>
      </c>
      <c r="L441" s="61">
        <f>SUMIF('05'!$A:$A,$B441,'05'!J:J)+SUMIF('07'!$A:$A,$B441,'07'!J:J)+SUMIF('08'!$A:$A,$B441,'08'!J:J)+SUMIF('09'!$A:$A,$B441,'09'!J:J)+SUMIF('10'!$A:$A,$B441,'10'!J:J)+SUMIF('11'!$A:$A,$B441,'11'!J:J)+SUMIF('12'!$A:$A,$B441,'12'!J:J)+SUMIF('13'!$A:$A,$B441,'13'!J:J)+SUMIF('15'!$A:$A,$B441,'15'!J:J)+SUMIF('17'!$A:$A,$B441,'17'!J:J)+SUMIF('20'!$A:$A,$B441,'20'!J:J)+SUMIF('30'!$A:$A,$B441,'30'!J:J)+SUMIF('35'!$A:$A,$B441,'35'!J:J)+SUMIF('40'!$A:$A,$B441,'40'!J:J)+SUMIF('45'!$A:$A,$B441,'45'!J:J)</f>
        <v>2908100</v>
      </c>
    </row>
    <row r="442" spans="2:12" x14ac:dyDescent="0.2">
      <c r="B442" s="37">
        <v>229</v>
      </c>
      <c r="C442" s="37"/>
      <c r="D442" s="56" t="s">
        <v>209</v>
      </c>
      <c r="E442" s="50"/>
      <c r="F442" s="50"/>
      <c r="G442" s="61">
        <f>SUMIF('05'!$A:$A,$B442,'05'!E:E)+SUMIF('07'!$A:$A,$B442,'07'!E:E)+SUMIF('08'!$A:$A,$B442,'08'!E:E)+SUMIF('09'!$A:$A,$B442,'09'!E:E)+SUMIF('10'!$A:$A,$B442,'10'!E:E)+SUMIF('11'!$A:$A,$B442,'11'!E:E)+SUMIF('12'!$A:$A,$B442,'12'!E:E)+SUMIF('13'!$A:$A,$B442,'13'!E:E)+SUMIF('15'!$A:$A,$B442,'15'!E:E)+SUMIF('17'!$A:$A,$B442,'17'!E:E)+SUMIF('20'!$A:$A,$B442,'20'!E:E)+SUMIF('30'!$A:$A,$B442,'30'!E:E)+SUMIF('35'!$A:$A,$B442,'35'!E:E)+SUMIF('40'!$A:$A,$B442,'40'!E:E)+SUMIF('45'!$A:$A,$B442,'45'!E:E)</f>
        <v>1309703.6400000001</v>
      </c>
      <c r="H442" s="61">
        <f>SUMIF('05'!$A:$A,$B442,'05'!F:F)+SUMIF('07'!$A:$A,$B442,'07'!F:F)+SUMIF('08'!$A:$A,$B442,'08'!F:F)+SUMIF('09'!$A:$A,$B442,'09'!F:F)+SUMIF('10'!$A:$A,$B442,'10'!F:F)+SUMIF('11'!$A:$A,$B442,'11'!F:F)+SUMIF('12'!$A:$A,$B442,'12'!F:F)+SUMIF('13'!$A:$A,$B442,'13'!F:F)+SUMIF('15'!$A:$A,$B442,'15'!F:F)+SUMIF('17'!$A:$A,$B442,'17'!F:F)+SUMIF('20'!$A:$A,$B442,'20'!F:F)+SUMIF('30'!$A:$A,$B442,'30'!F:F)+SUMIF('35'!$A:$A,$B442,'35'!F:F)+SUMIF('40'!$A:$A,$B442,'40'!F:F)+SUMIF('45'!$A:$A,$B442,'45'!F:F)</f>
        <v>5786200</v>
      </c>
      <c r="I442" s="61">
        <f>SUMIF('05'!$A:$A,$B442,'05'!G:G)+SUMIF('07'!$A:$A,$B442,'07'!G:G)+SUMIF('08'!$A:$A,$B442,'08'!G:G)+SUMIF('09'!$A:$A,$B442,'09'!G:G)+SUMIF('10'!$A:$A,$B442,'10'!G:G)+SUMIF('11'!$A:$A,$B442,'11'!G:G)+SUMIF('12'!$A:$A,$B442,'12'!G:G)+SUMIF('13'!$A:$A,$B442,'13'!G:G)+SUMIF('15'!$A:$A,$B442,'15'!G:G)+SUMIF('17'!$A:$A,$B442,'17'!G:G)+SUMIF('20'!$A:$A,$B442,'20'!G:G)+SUMIF('30'!$A:$A,$B442,'30'!G:G)+SUMIF('35'!$A:$A,$B442,'35'!G:G)+SUMIF('40'!$A:$A,$B442,'40'!G:G)+SUMIF('45'!$A:$A,$B442,'45'!G:G)</f>
        <v>5202300</v>
      </c>
      <c r="J442" s="61">
        <f>SUMIF('05'!$A:$A,$B442,'05'!H:H)+SUMIF('07'!$A:$A,$B442,'07'!H:H)+SUMIF('08'!$A:$A,$B442,'08'!H:H)+SUMIF('09'!$A:$A,$B442,'09'!H:H)+SUMIF('10'!$A:$A,$B442,'10'!H:H)+SUMIF('11'!$A:$A,$B442,'11'!H:H)+SUMIF('12'!$A:$A,$B442,'12'!H:H)+SUMIF('13'!$A:$A,$B442,'13'!H:H)+SUMIF('15'!$A:$A,$B442,'15'!H:H)+SUMIF('17'!$A:$A,$B442,'17'!H:H)+SUMIF('20'!$A:$A,$B442,'20'!H:H)+SUMIF('30'!$A:$A,$B442,'30'!H:H)+SUMIF('35'!$A:$A,$B442,'35'!H:H)+SUMIF('40'!$A:$A,$B442,'40'!H:H)+SUMIF('45'!$A:$A,$B442,'45'!H:H)</f>
        <v>4562900</v>
      </c>
      <c r="K442" s="61">
        <f>SUMIF('05'!$A:$A,$B442,'05'!I:I)+SUMIF('07'!$A:$A,$B442,'07'!I:I)+SUMIF('08'!$A:$A,$B442,'08'!I:I)+SUMIF('09'!$A:$A,$B442,'09'!I:I)+SUMIF('10'!$A:$A,$B442,'10'!I:I)+SUMIF('11'!$A:$A,$B442,'11'!I:I)+SUMIF('12'!$A:$A,$B442,'12'!I:I)+SUMIF('13'!$A:$A,$B442,'13'!I:I)+SUMIF('15'!$A:$A,$B442,'15'!I:I)+SUMIF('17'!$A:$A,$B442,'17'!I:I)+SUMIF('20'!$A:$A,$B442,'20'!I:I)+SUMIF('30'!$A:$A,$B442,'30'!I:I)+SUMIF('35'!$A:$A,$B442,'35'!I:I)+SUMIF('40'!$A:$A,$B442,'40'!I:I)+SUMIF('45'!$A:$A,$B442,'45'!I:I)</f>
        <v>3163500</v>
      </c>
      <c r="L442" s="61">
        <f>SUMIF('05'!$A:$A,$B442,'05'!J:J)+SUMIF('07'!$A:$A,$B442,'07'!J:J)+SUMIF('08'!$A:$A,$B442,'08'!J:J)+SUMIF('09'!$A:$A,$B442,'09'!J:J)+SUMIF('10'!$A:$A,$B442,'10'!J:J)+SUMIF('11'!$A:$A,$B442,'11'!J:J)+SUMIF('12'!$A:$A,$B442,'12'!J:J)+SUMIF('13'!$A:$A,$B442,'13'!J:J)+SUMIF('15'!$A:$A,$B442,'15'!J:J)+SUMIF('17'!$A:$A,$B442,'17'!J:J)+SUMIF('20'!$A:$A,$B442,'20'!J:J)+SUMIF('30'!$A:$A,$B442,'30'!J:J)+SUMIF('35'!$A:$A,$B442,'35'!J:J)+SUMIF('40'!$A:$A,$B442,'40'!J:J)+SUMIF('45'!$A:$A,$B442,'45'!J:J)</f>
        <v>3186900</v>
      </c>
    </row>
    <row r="443" spans="2:12" x14ac:dyDescent="0.2">
      <c r="B443" s="37">
        <v>230</v>
      </c>
      <c r="C443" s="37"/>
      <c r="D443" s="56" t="s">
        <v>210</v>
      </c>
      <c r="E443" s="50"/>
      <c r="F443" s="50"/>
      <c r="G443" s="61">
        <f>SUMIF('05'!$A:$A,$B443,'05'!E:E)+SUMIF('07'!$A:$A,$B443,'07'!E:E)+SUMIF('08'!$A:$A,$B443,'08'!E:E)+SUMIF('09'!$A:$A,$B443,'09'!E:E)+SUMIF('10'!$A:$A,$B443,'10'!E:E)+SUMIF('11'!$A:$A,$B443,'11'!E:E)+SUMIF('12'!$A:$A,$B443,'12'!E:E)+SUMIF('13'!$A:$A,$B443,'13'!E:E)+SUMIF('15'!$A:$A,$B443,'15'!E:E)+SUMIF('17'!$A:$A,$B443,'17'!E:E)+SUMIF('20'!$A:$A,$B443,'20'!E:E)+SUMIF('30'!$A:$A,$B443,'30'!E:E)+SUMIF('35'!$A:$A,$B443,'35'!E:E)+SUMIF('40'!$A:$A,$B443,'40'!E:E)+SUMIF('45'!$A:$A,$B443,'45'!E:E)</f>
        <v>280114.38</v>
      </c>
      <c r="H443" s="61">
        <f>SUMIF('05'!$A:$A,$B443,'05'!F:F)+SUMIF('07'!$A:$A,$B443,'07'!F:F)+SUMIF('08'!$A:$A,$B443,'08'!F:F)+SUMIF('09'!$A:$A,$B443,'09'!F:F)+SUMIF('10'!$A:$A,$B443,'10'!F:F)+SUMIF('11'!$A:$A,$B443,'11'!F:F)+SUMIF('12'!$A:$A,$B443,'12'!F:F)+SUMIF('13'!$A:$A,$B443,'13'!F:F)+SUMIF('15'!$A:$A,$B443,'15'!F:F)+SUMIF('17'!$A:$A,$B443,'17'!F:F)+SUMIF('20'!$A:$A,$B443,'20'!F:F)+SUMIF('30'!$A:$A,$B443,'30'!F:F)+SUMIF('35'!$A:$A,$B443,'35'!F:F)+SUMIF('40'!$A:$A,$B443,'40'!F:F)+SUMIF('45'!$A:$A,$B443,'45'!F:F)</f>
        <v>271800</v>
      </c>
      <c r="I443" s="61">
        <f>SUMIF('05'!$A:$A,$B443,'05'!G:G)+SUMIF('07'!$A:$A,$B443,'07'!G:G)+SUMIF('08'!$A:$A,$B443,'08'!G:G)+SUMIF('09'!$A:$A,$B443,'09'!G:G)+SUMIF('10'!$A:$A,$B443,'10'!G:G)+SUMIF('11'!$A:$A,$B443,'11'!G:G)+SUMIF('12'!$A:$A,$B443,'12'!G:G)+SUMIF('13'!$A:$A,$B443,'13'!G:G)+SUMIF('15'!$A:$A,$B443,'15'!G:G)+SUMIF('17'!$A:$A,$B443,'17'!G:G)+SUMIF('20'!$A:$A,$B443,'20'!G:G)+SUMIF('30'!$A:$A,$B443,'30'!G:G)+SUMIF('35'!$A:$A,$B443,'35'!G:G)+SUMIF('40'!$A:$A,$B443,'40'!G:G)+SUMIF('45'!$A:$A,$B443,'45'!G:G)</f>
        <v>293000</v>
      </c>
      <c r="J443" s="61">
        <f>SUMIF('05'!$A:$A,$B443,'05'!H:H)+SUMIF('07'!$A:$A,$B443,'07'!H:H)+SUMIF('08'!$A:$A,$B443,'08'!H:H)+SUMIF('09'!$A:$A,$B443,'09'!H:H)+SUMIF('10'!$A:$A,$B443,'10'!H:H)+SUMIF('11'!$A:$A,$B443,'11'!H:H)+SUMIF('12'!$A:$A,$B443,'12'!H:H)+SUMIF('13'!$A:$A,$B443,'13'!H:H)+SUMIF('15'!$A:$A,$B443,'15'!H:H)+SUMIF('17'!$A:$A,$B443,'17'!H:H)+SUMIF('20'!$A:$A,$B443,'20'!H:H)+SUMIF('30'!$A:$A,$B443,'30'!H:H)+SUMIF('35'!$A:$A,$B443,'35'!H:H)+SUMIF('40'!$A:$A,$B443,'40'!H:H)+SUMIF('45'!$A:$A,$B443,'45'!H:H)</f>
        <v>328300</v>
      </c>
      <c r="K443" s="61">
        <f>SUMIF('05'!$A:$A,$B443,'05'!I:I)+SUMIF('07'!$A:$A,$B443,'07'!I:I)+SUMIF('08'!$A:$A,$B443,'08'!I:I)+SUMIF('09'!$A:$A,$B443,'09'!I:I)+SUMIF('10'!$A:$A,$B443,'10'!I:I)+SUMIF('11'!$A:$A,$B443,'11'!I:I)+SUMIF('12'!$A:$A,$B443,'12'!I:I)+SUMIF('13'!$A:$A,$B443,'13'!I:I)+SUMIF('15'!$A:$A,$B443,'15'!I:I)+SUMIF('17'!$A:$A,$B443,'17'!I:I)+SUMIF('20'!$A:$A,$B443,'20'!I:I)+SUMIF('30'!$A:$A,$B443,'30'!I:I)+SUMIF('35'!$A:$A,$B443,'35'!I:I)+SUMIF('40'!$A:$A,$B443,'40'!I:I)+SUMIF('45'!$A:$A,$B443,'45'!I:I)</f>
        <v>303300</v>
      </c>
      <c r="L443" s="61">
        <f>SUMIF('05'!$A:$A,$B443,'05'!J:J)+SUMIF('07'!$A:$A,$B443,'07'!J:J)+SUMIF('08'!$A:$A,$B443,'08'!J:J)+SUMIF('09'!$A:$A,$B443,'09'!J:J)+SUMIF('10'!$A:$A,$B443,'10'!J:J)+SUMIF('11'!$A:$A,$B443,'11'!J:J)+SUMIF('12'!$A:$A,$B443,'12'!J:J)+SUMIF('13'!$A:$A,$B443,'13'!J:J)+SUMIF('15'!$A:$A,$B443,'15'!J:J)+SUMIF('17'!$A:$A,$B443,'17'!J:J)+SUMIF('20'!$A:$A,$B443,'20'!J:J)+SUMIF('30'!$A:$A,$B443,'30'!J:J)+SUMIF('35'!$A:$A,$B443,'35'!J:J)+SUMIF('40'!$A:$A,$B443,'40'!J:J)+SUMIF('45'!$A:$A,$B443,'45'!J:J)</f>
        <v>303300</v>
      </c>
    </row>
    <row r="444" spans="2:12" x14ac:dyDescent="0.2">
      <c r="B444" s="37">
        <v>232</v>
      </c>
      <c r="C444" s="37"/>
      <c r="D444" s="56" t="s">
        <v>211</v>
      </c>
      <c r="E444" s="50"/>
      <c r="F444" s="50"/>
      <c r="G444" s="61">
        <f>SUMIF('05'!$A:$A,$B444,'05'!E:E)+SUMIF('07'!$A:$A,$B444,'07'!E:E)+SUMIF('08'!$A:$A,$B444,'08'!E:E)+SUMIF('09'!$A:$A,$B444,'09'!E:E)+SUMIF('10'!$A:$A,$B444,'10'!E:E)+SUMIF('11'!$A:$A,$B444,'11'!E:E)+SUMIF('12'!$A:$A,$B444,'12'!E:E)+SUMIF('13'!$A:$A,$B444,'13'!E:E)+SUMIF('15'!$A:$A,$B444,'15'!E:E)+SUMIF('17'!$A:$A,$B444,'17'!E:E)+SUMIF('20'!$A:$A,$B444,'20'!E:E)+SUMIF('30'!$A:$A,$B444,'30'!E:E)+SUMIF('35'!$A:$A,$B444,'35'!E:E)+SUMIF('40'!$A:$A,$B444,'40'!E:E)+SUMIF('45'!$A:$A,$B444,'45'!E:E)</f>
        <v>6282853.4299999988</v>
      </c>
      <c r="H444" s="61">
        <f>SUMIF('05'!$A:$A,$B444,'05'!F:F)+SUMIF('07'!$A:$A,$B444,'07'!F:F)+SUMIF('08'!$A:$A,$B444,'08'!F:F)+SUMIF('09'!$A:$A,$B444,'09'!F:F)+SUMIF('10'!$A:$A,$B444,'10'!F:F)+SUMIF('11'!$A:$A,$B444,'11'!F:F)+SUMIF('12'!$A:$A,$B444,'12'!F:F)+SUMIF('13'!$A:$A,$B444,'13'!F:F)+SUMIF('15'!$A:$A,$B444,'15'!F:F)+SUMIF('17'!$A:$A,$B444,'17'!F:F)+SUMIF('20'!$A:$A,$B444,'20'!F:F)+SUMIF('30'!$A:$A,$B444,'30'!F:F)+SUMIF('35'!$A:$A,$B444,'35'!F:F)+SUMIF('40'!$A:$A,$B444,'40'!F:F)+SUMIF('45'!$A:$A,$B444,'45'!F:F)</f>
        <v>6920700</v>
      </c>
      <c r="I444" s="61">
        <f>SUMIF('05'!$A:$A,$B444,'05'!G:G)+SUMIF('07'!$A:$A,$B444,'07'!G:G)+SUMIF('08'!$A:$A,$B444,'08'!G:G)+SUMIF('09'!$A:$A,$B444,'09'!G:G)+SUMIF('10'!$A:$A,$B444,'10'!G:G)+SUMIF('11'!$A:$A,$B444,'11'!G:G)+SUMIF('12'!$A:$A,$B444,'12'!G:G)+SUMIF('13'!$A:$A,$B444,'13'!G:G)+SUMIF('15'!$A:$A,$B444,'15'!G:G)+SUMIF('17'!$A:$A,$B444,'17'!G:G)+SUMIF('20'!$A:$A,$B444,'20'!G:G)+SUMIF('30'!$A:$A,$B444,'30'!G:G)+SUMIF('35'!$A:$A,$B444,'35'!G:G)+SUMIF('40'!$A:$A,$B444,'40'!G:G)+SUMIF('45'!$A:$A,$B444,'45'!G:G)</f>
        <v>7188700</v>
      </c>
      <c r="J444" s="61">
        <f>SUMIF('05'!$A:$A,$B444,'05'!H:H)+SUMIF('07'!$A:$A,$B444,'07'!H:H)+SUMIF('08'!$A:$A,$B444,'08'!H:H)+SUMIF('09'!$A:$A,$B444,'09'!H:H)+SUMIF('10'!$A:$A,$B444,'10'!H:H)+SUMIF('11'!$A:$A,$B444,'11'!H:H)+SUMIF('12'!$A:$A,$B444,'12'!H:H)+SUMIF('13'!$A:$A,$B444,'13'!H:H)+SUMIF('15'!$A:$A,$B444,'15'!H:H)+SUMIF('17'!$A:$A,$B444,'17'!H:H)+SUMIF('20'!$A:$A,$B444,'20'!H:H)+SUMIF('30'!$A:$A,$B444,'30'!H:H)+SUMIF('35'!$A:$A,$B444,'35'!H:H)+SUMIF('40'!$A:$A,$B444,'40'!H:H)+SUMIF('45'!$A:$A,$B444,'45'!H:H)</f>
        <v>7426800</v>
      </c>
      <c r="K444" s="61">
        <f>SUMIF('05'!$A:$A,$B444,'05'!I:I)+SUMIF('07'!$A:$A,$B444,'07'!I:I)+SUMIF('08'!$A:$A,$B444,'08'!I:I)+SUMIF('09'!$A:$A,$B444,'09'!I:I)+SUMIF('10'!$A:$A,$B444,'10'!I:I)+SUMIF('11'!$A:$A,$B444,'11'!I:I)+SUMIF('12'!$A:$A,$B444,'12'!I:I)+SUMIF('13'!$A:$A,$B444,'13'!I:I)+SUMIF('15'!$A:$A,$B444,'15'!I:I)+SUMIF('17'!$A:$A,$B444,'17'!I:I)+SUMIF('20'!$A:$A,$B444,'20'!I:I)+SUMIF('30'!$A:$A,$B444,'30'!I:I)+SUMIF('35'!$A:$A,$B444,'35'!I:I)+SUMIF('40'!$A:$A,$B444,'40'!I:I)+SUMIF('45'!$A:$A,$B444,'45'!I:I)</f>
        <v>7364700</v>
      </c>
      <c r="L444" s="61">
        <f>SUMIF('05'!$A:$A,$B444,'05'!J:J)+SUMIF('07'!$A:$A,$B444,'07'!J:J)+SUMIF('08'!$A:$A,$B444,'08'!J:J)+SUMIF('09'!$A:$A,$B444,'09'!J:J)+SUMIF('10'!$A:$A,$B444,'10'!J:J)+SUMIF('11'!$A:$A,$B444,'11'!J:J)+SUMIF('12'!$A:$A,$B444,'12'!J:J)+SUMIF('13'!$A:$A,$B444,'13'!J:J)+SUMIF('15'!$A:$A,$B444,'15'!J:J)+SUMIF('17'!$A:$A,$B444,'17'!J:J)+SUMIF('20'!$A:$A,$B444,'20'!J:J)+SUMIF('30'!$A:$A,$B444,'30'!J:J)+SUMIF('35'!$A:$A,$B444,'35'!J:J)+SUMIF('40'!$A:$A,$B444,'40'!J:J)+SUMIF('45'!$A:$A,$B444,'45'!J:J)</f>
        <v>7364700</v>
      </c>
    </row>
    <row r="445" spans="2:12" x14ac:dyDescent="0.2">
      <c r="B445" s="37">
        <v>234</v>
      </c>
      <c r="C445" s="37"/>
      <c r="D445" s="56" t="s">
        <v>212</v>
      </c>
      <c r="E445" s="50"/>
      <c r="F445" s="50"/>
      <c r="G445" s="61">
        <f>SUMIF('05'!$A:$A,$B445,'05'!E:E)+SUMIF('07'!$A:$A,$B445,'07'!E:E)+SUMIF('08'!$A:$A,$B445,'08'!E:E)+SUMIF('09'!$A:$A,$B445,'09'!E:E)+SUMIF('10'!$A:$A,$B445,'10'!E:E)+SUMIF('11'!$A:$A,$B445,'11'!E:E)+SUMIF('12'!$A:$A,$B445,'12'!E:E)+SUMIF('13'!$A:$A,$B445,'13'!E:E)+SUMIF('15'!$A:$A,$B445,'15'!E:E)+SUMIF('17'!$A:$A,$B445,'17'!E:E)+SUMIF('20'!$A:$A,$B445,'20'!E:E)+SUMIF('30'!$A:$A,$B445,'30'!E:E)+SUMIF('35'!$A:$A,$B445,'35'!E:E)+SUMIF('40'!$A:$A,$B445,'40'!E:E)+SUMIF('45'!$A:$A,$B445,'45'!E:E)</f>
        <v>1031290.75</v>
      </c>
      <c r="H445" s="61">
        <f>SUMIF('05'!$A:$A,$B445,'05'!F:F)+SUMIF('07'!$A:$A,$B445,'07'!F:F)+SUMIF('08'!$A:$A,$B445,'08'!F:F)+SUMIF('09'!$A:$A,$B445,'09'!F:F)+SUMIF('10'!$A:$A,$B445,'10'!F:F)+SUMIF('11'!$A:$A,$B445,'11'!F:F)+SUMIF('12'!$A:$A,$B445,'12'!F:F)+SUMIF('13'!$A:$A,$B445,'13'!F:F)+SUMIF('15'!$A:$A,$B445,'15'!F:F)+SUMIF('17'!$A:$A,$B445,'17'!F:F)+SUMIF('20'!$A:$A,$B445,'20'!F:F)+SUMIF('30'!$A:$A,$B445,'30'!F:F)+SUMIF('35'!$A:$A,$B445,'35'!F:F)+SUMIF('40'!$A:$A,$B445,'40'!F:F)+SUMIF('45'!$A:$A,$B445,'45'!F:F)</f>
        <v>1134400</v>
      </c>
      <c r="I445" s="61">
        <f>SUMIF('05'!$A:$A,$B445,'05'!G:G)+SUMIF('07'!$A:$A,$B445,'07'!G:G)+SUMIF('08'!$A:$A,$B445,'08'!G:G)+SUMIF('09'!$A:$A,$B445,'09'!G:G)+SUMIF('10'!$A:$A,$B445,'10'!G:G)+SUMIF('11'!$A:$A,$B445,'11'!G:G)+SUMIF('12'!$A:$A,$B445,'12'!G:G)+SUMIF('13'!$A:$A,$B445,'13'!G:G)+SUMIF('15'!$A:$A,$B445,'15'!G:G)+SUMIF('17'!$A:$A,$B445,'17'!G:G)+SUMIF('20'!$A:$A,$B445,'20'!G:G)+SUMIF('30'!$A:$A,$B445,'30'!G:G)+SUMIF('35'!$A:$A,$B445,'35'!G:G)+SUMIF('40'!$A:$A,$B445,'40'!G:G)+SUMIF('45'!$A:$A,$B445,'45'!G:G)</f>
        <v>1102300</v>
      </c>
      <c r="J445" s="61">
        <f>SUMIF('05'!$A:$A,$B445,'05'!H:H)+SUMIF('07'!$A:$A,$B445,'07'!H:H)+SUMIF('08'!$A:$A,$B445,'08'!H:H)+SUMIF('09'!$A:$A,$B445,'09'!H:H)+SUMIF('10'!$A:$A,$B445,'10'!H:H)+SUMIF('11'!$A:$A,$B445,'11'!H:H)+SUMIF('12'!$A:$A,$B445,'12'!H:H)+SUMIF('13'!$A:$A,$B445,'13'!H:H)+SUMIF('15'!$A:$A,$B445,'15'!H:H)+SUMIF('17'!$A:$A,$B445,'17'!H:H)+SUMIF('20'!$A:$A,$B445,'20'!H:H)+SUMIF('30'!$A:$A,$B445,'30'!H:H)+SUMIF('35'!$A:$A,$B445,'35'!H:H)+SUMIF('40'!$A:$A,$B445,'40'!H:H)+SUMIF('45'!$A:$A,$B445,'45'!H:H)</f>
        <v>1261400</v>
      </c>
      <c r="K445" s="61">
        <f>SUMIF('05'!$A:$A,$B445,'05'!I:I)+SUMIF('07'!$A:$A,$B445,'07'!I:I)+SUMIF('08'!$A:$A,$B445,'08'!I:I)+SUMIF('09'!$A:$A,$B445,'09'!I:I)+SUMIF('10'!$A:$A,$B445,'10'!I:I)+SUMIF('11'!$A:$A,$B445,'11'!I:I)+SUMIF('12'!$A:$A,$B445,'12'!I:I)+SUMIF('13'!$A:$A,$B445,'13'!I:I)+SUMIF('15'!$A:$A,$B445,'15'!I:I)+SUMIF('17'!$A:$A,$B445,'17'!I:I)+SUMIF('20'!$A:$A,$B445,'20'!I:I)+SUMIF('30'!$A:$A,$B445,'30'!I:I)+SUMIF('35'!$A:$A,$B445,'35'!I:I)+SUMIF('40'!$A:$A,$B445,'40'!I:I)+SUMIF('45'!$A:$A,$B445,'45'!I:I)</f>
        <v>1261400</v>
      </c>
      <c r="L445" s="61">
        <f>SUMIF('05'!$A:$A,$B445,'05'!J:J)+SUMIF('07'!$A:$A,$B445,'07'!J:J)+SUMIF('08'!$A:$A,$B445,'08'!J:J)+SUMIF('09'!$A:$A,$B445,'09'!J:J)+SUMIF('10'!$A:$A,$B445,'10'!J:J)+SUMIF('11'!$A:$A,$B445,'11'!J:J)+SUMIF('12'!$A:$A,$B445,'12'!J:J)+SUMIF('13'!$A:$A,$B445,'13'!J:J)+SUMIF('15'!$A:$A,$B445,'15'!J:J)+SUMIF('17'!$A:$A,$B445,'17'!J:J)+SUMIF('20'!$A:$A,$B445,'20'!J:J)+SUMIF('30'!$A:$A,$B445,'30'!J:J)+SUMIF('35'!$A:$A,$B445,'35'!J:J)+SUMIF('40'!$A:$A,$B445,'40'!J:J)+SUMIF('45'!$A:$A,$B445,'45'!J:J)</f>
        <v>1261400</v>
      </c>
    </row>
    <row r="446" spans="2:12" x14ac:dyDescent="0.2">
      <c r="B446" s="37">
        <v>236</v>
      </c>
      <c r="C446" s="37"/>
      <c r="D446" s="56" t="s">
        <v>213</v>
      </c>
      <c r="E446" s="50"/>
      <c r="F446" s="50"/>
      <c r="G446" s="61">
        <f>SUMIF('05'!$A:$A,$B446,'05'!E:E)+SUMIF('07'!$A:$A,$B446,'07'!E:E)+SUMIF('08'!$A:$A,$B446,'08'!E:E)+SUMIF('09'!$A:$A,$B446,'09'!E:E)+SUMIF('10'!$A:$A,$B446,'10'!E:E)+SUMIF('11'!$A:$A,$B446,'11'!E:E)+SUMIF('12'!$A:$A,$B446,'12'!E:E)+SUMIF('13'!$A:$A,$B446,'13'!E:E)+SUMIF('15'!$A:$A,$B446,'15'!E:E)+SUMIF('17'!$A:$A,$B446,'17'!E:E)+SUMIF('20'!$A:$A,$B446,'20'!E:E)+SUMIF('30'!$A:$A,$B446,'30'!E:E)+SUMIF('35'!$A:$A,$B446,'35'!E:E)+SUMIF('40'!$A:$A,$B446,'40'!E:E)+SUMIF('45'!$A:$A,$B446,'45'!E:E)</f>
        <v>6629753.75</v>
      </c>
      <c r="H446" s="61">
        <f>SUMIF('05'!$A:$A,$B446,'05'!F:F)+SUMIF('07'!$A:$A,$B446,'07'!F:F)+SUMIF('08'!$A:$A,$B446,'08'!F:F)+SUMIF('09'!$A:$A,$B446,'09'!F:F)+SUMIF('10'!$A:$A,$B446,'10'!F:F)+SUMIF('11'!$A:$A,$B446,'11'!F:F)+SUMIF('12'!$A:$A,$B446,'12'!F:F)+SUMIF('13'!$A:$A,$B446,'13'!F:F)+SUMIF('15'!$A:$A,$B446,'15'!F:F)+SUMIF('17'!$A:$A,$B446,'17'!F:F)+SUMIF('20'!$A:$A,$B446,'20'!F:F)+SUMIF('30'!$A:$A,$B446,'30'!F:F)+SUMIF('35'!$A:$A,$B446,'35'!F:F)+SUMIF('40'!$A:$A,$B446,'40'!F:F)+SUMIF('45'!$A:$A,$B446,'45'!F:F)</f>
        <v>9346200</v>
      </c>
      <c r="I446" s="61">
        <f>SUMIF('05'!$A:$A,$B446,'05'!G:G)+SUMIF('07'!$A:$A,$B446,'07'!G:G)+SUMIF('08'!$A:$A,$B446,'08'!G:G)+SUMIF('09'!$A:$A,$B446,'09'!G:G)+SUMIF('10'!$A:$A,$B446,'10'!G:G)+SUMIF('11'!$A:$A,$B446,'11'!G:G)+SUMIF('12'!$A:$A,$B446,'12'!G:G)+SUMIF('13'!$A:$A,$B446,'13'!G:G)+SUMIF('15'!$A:$A,$B446,'15'!G:G)+SUMIF('17'!$A:$A,$B446,'17'!G:G)+SUMIF('20'!$A:$A,$B446,'20'!G:G)+SUMIF('30'!$A:$A,$B446,'30'!G:G)+SUMIF('35'!$A:$A,$B446,'35'!G:G)+SUMIF('40'!$A:$A,$B446,'40'!G:G)+SUMIF('45'!$A:$A,$B446,'45'!G:G)</f>
        <v>8291500</v>
      </c>
      <c r="J446" s="61">
        <f>SUMIF('05'!$A:$A,$B446,'05'!H:H)+SUMIF('07'!$A:$A,$B446,'07'!H:H)+SUMIF('08'!$A:$A,$B446,'08'!H:H)+SUMIF('09'!$A:$A,$B446,'09'!H:H)+SUMIF('10'!$A:$A,$B446,'10'!H:H)+SUMIF('11'!$A:$A,$B446,'11'!H:H)+SUMIF('12'!$A:$A,$B446,'12'!H:H)+SUMIF('13'!$A:$A,$B446,'13'!H:H)+SUMIF('15'!$A:$A,$B446,'15'!H:H)+SUMIF('17'!$A:$A,$B446,'17'!H:H)+SUMIF('20'!$A:$A,$B446,'20'!H:H)+SUMIF('30'!$A:$A,$B446,'30'!H:H)+SUMIF('35'!$A:$A,$B446,'35'!H:H)+SUMIF('40'!$A:$A,$B446,'40'!H:H)+SUMIF('45'!$A:$A,$B446,'45'!H:H)</f>
        <v>10114400</v>
      </c>
      <c r="K446" s="61">
        <f>SUMIF('05'!$A:$A,$B446,'05'!I:I)+SUMIF('07'!$A:$A,$B446,'07'!I:I)+SUMIF('08'!$A:$A,$B446,'08'!I:I)+SUMIF('09'!$A:$A,$B446,'09'!I:I)+SUMIF('10'!$A:$A,$B446,'10'!I:I)+SUMIF('11'!$A:$A,$B446,'11'!I:I)+SUMIF('12'!$A:$A,$B446,'12'!I:I)+SUMIF('13'!$A:$A,$B446,'13'!I:I)+SUMIF('15'!$A:$A,$B446,'15'!I:I)+SUMIF('17'!$A:$A,$B446,'17'!I:I)+SUMIF('20'!$A:$A,$B446,'20'!I:I)+SUMIF('30'!$A:$A,$B446,'30'!I:I)+SUMIF('35'!$A:$A,$B446,'35'!I:I)+SUMIF('40'!$A:$A,$B446,'40'!I:I)+SUMIF('45'!$A:$A,$B446,'45'!I:I)</f>
        <v>9217300</v>
      </c>
      <c r="L446" s="61">
        <f>SUMIF('05'!$A:$A,$B446,'05'!J:J)+SUMIF('07'!$A:$A,$B446,'07'!J:J)+SUMIF('08'!$A:$A,$B446,'08'!J:J)+SUMIF('09'!$A:$A,$B446,'09'!J:J)+SUMIF('10'!$A:$A,$B446,'10'!J:J)+SUMIF('11'!$A:$A,$B446,'11'!J:J)+SUMIF('12'!$A:$A,$B446,'12'!J:J)+SUMIF('13'!$A:$A,$B446,'13'!J:J)+SUMIF('15'!$A:$A,$B446,'15'!J:J)+SUMIF('17'!$A:$A,$B446,'17'!J:J)+SUMIF('20'!$A:$A,$B446,'20'!J:J)+SUMIF('30'!$A:$A,$B446,'30'!J:J)+SUMIF('35'!$A:$A,$B446,'35'!J:J)+SUMIF('40'!$A:$A,$B446,'40'!J:J)+SUMIF('45'!$A:$A,$B446,'45'!J:J)</f>
        <v>9217300</v>
      </c>
    </row>
    <row r="447" spans="2:12" x14ac:dyDescent="0.2">
      <c r="B447" s="37">
        <v>238</v>
      </c>
      <c r="C447" s="37"/>
      <c r="D447" s="56" t="s">
        <v>214</v>
      </c>
      <c r="E447" s="50"/>
      <c r="F447" s="50"/>
      <c r="G447" s="61">
        <f>SUMIF('05'!$A:$A,$B447,'05'!E:E)+SUMIF('07'!$A:$A,$B447,'07'!E:E)+SUMIF('08'!$A:$A,$B447,'08'!E:E)+SUMIF('09'!$A:$A,$B447,'09'!E:E)+SUMIF('10'!$A:$A,$B447,'10'!E:E)+SUMIF('11'!$A:$A,$B447,'11'!E:E)+SUMIF('12'!$A:$A,$B447,'12'!E:E)+SUMIF('13'!$A:$A,$B447,'13'!E:E)+SUMIF('15'!$A:$A,$B447,'15'!E:E)+SUMIF('17'!$A:$A,$B447,'17'!E:E)+SUMIF('20'!$A:$A,$B447,'20'!E:E)+SUMIF('30'!$A:$A,$B447,'30'!E:E)+SUMIF('35'!$A:$A,$B447,'35'!E:E)+SUMIF('40'!$A:$A,$B447,'40'!E:E)+SUMIF('45'!$A:$A,$B447,'45'!E:E)</f>
        <v>419174.38</v>
      </c>
      <c r="H447" s="61">
        <f>SUMIF('05'!$A:$A,$B447,'05'!F:F)+SUMIF('07'!$A:$A,$B447,'07'!F:F)+SUMIF('08'!$A:$A,$B447,'08'!F:F)+SUMIF('09'!$A:$A,$B447,'09'!F:F)+SUMIF('10'!$A:$A,$B447,'10'!F:F)+SUMIF('11'!$A:$A,$B447,'11'!F:F)+SUMIF('12'!$A:$A,$B447,'12'!F:F)+SUMIF('13'!$A:$A,$B447,'13'!F:F)+SUMIF('15'!$A:$A,$B447,'15'!F:F)+SUMIF('17'!$A:$A,$B447,'17'!F:F)+SUMIF('20'!$A:$A,$B447,'20'!F:F)+SUMIF('30'!$A:$A,$B447,'30'!F:F)+SUMIF('35'!$A:$A,$B447,'35'!F:F)+SUMIF('40'!$A:$A,$B447,'40'!F:F)+SUMIF('45'!$A:$A,$B447,'45'!F:F)</f>
        <v>448100</v>
      </c>
      <c r="I447" s="61">
        <f>SUMIF('05'!$A:$A,$B447,'05'!G:G)+SUMIF('07'!$A:$A,$B447,'07'!G:G)+SUMIF('08'!$A:$A,$B447,'08'!G:G)+SUMIF('09'!$A:$A,$B447,'09'!G:G)+SUMIF('10'!$A:$A,$B447,'10'!G:G)+SUMIF('11'!$A:$A,$B447,'11'!G:G)+SUMIF('12'!$A:$A,$B447,'12'!G:G)+SUMIF('13'!$A:$A,$B447,'13'!G:G)+SUMIF('15'!$A:$A,$B447,'15'!G:G)+SUMIF('17'!$A:$A,$B447,'17'!G:G)+SUMIF('20'!$A:$A,$B447,'20'!G:G)+SUMIF('30'!$A:$A,$B447,'30'!G:G)+SUMIF('35'!$A:$A,$B447,'35'!G:G)+SUMIF('40'!$A:$A,$B447,'40'!G:G)+SUMIF('45'!$A:$A,$B447,'45'!G:G)</f>
        <v>429000</v>
      </c>
      <c r="J447" s="61">
        <f>SUMIF('05'!$A:$A,$B447,'05'!H:H)+SUMIF('07'!$A:$A,$B447,'07'!H:H)+SUMIF('08'!$A:$A,$B447,'08'!H:H)+SUMIF('09'!$A:$A,$B447,'09'!H:H)+SUMIF('10'!$A:$A,$B447,'10'!H:H)+SUMIF('11'!$A:$A,$B447,'11'!H:H)+SUMIF('12'!$A:$A,$B447,'12'!H:H)+SUMIF('13'!$A:$A,$B447,'13'!H:H)+SUMIF('15'!$A:$A,$B447,'15'!H:H)+SUMIF('17'!$A:$A,$B447,'17'!H:H)+SUMIF('20'!$A:$A,$B447,'20'!H:H)+SUMIF('30'!$A:$A,$B447,'30'!H:H)+SUMIF('35'!$A:$A,$B447,'35'!H:H)+SUMIF('40'!$A:$A,$B447,'40'!H:H)+SUMIF('45'!$A:$A,$B447,'45'!H:H)</f>
        <v>446100</v>
      </c>
      <c r="K447" s="61">
        <f>SUMIF('05'!$A:$A,$B447,'05'!I:I)+SUMIF('07'!$A:$A,$B447,'07'!I:I)+SUMIF('08'!$A:$A,$B447,'08'!I:I)+SUMIF('09'!$A:$A,$B447,'09'!I:I)+SUMIF('10'!$A:$A,$B447,'10'!I:I)+SUMIF('11'!$A:$A,$B447,'11'!I:I)+SUMIF('12'!$A:$A,$B447,'12'!I:I)+SUMIF('13'!$A:$A,$B447,'13'!I:I)+SUMIF('15'!$A:$A,$B447,'15'!I:I)+SUMIF('17'!$A:$A,$B447,'17'!I:I)+SUMIF('20'!$A:$A,$B447,'20'!I:I)+SUMIF('30'!$A:$A,$B447,'30'!I:I)+SUMIF('35'!$A:$A,$B447,'35'!I:I)+SUMIF('40'!$A:$A,$B447,'40'!I:I)+SUMIF('45'!$A:$A,$B447,'45'!I:I)</f>
        <v>446100</v>
      </c>
      <c r="L447" s="61">
        <f>SUMIF('05'!$A:$A,$B447,'05'!J:J)+SUMIF('07'!$A:$A,$B447,'07'!J:J)+SUMIF('08'!$A:$A,$B447,'08'!J:J)+SUMIF('09'!$A:$A,$B447,'09'!J:J)+SUMIF('10'!$A:$A,$B447,'10'!J:J)+SUMIF('11'!$A:$A,$B447,'11'!J:J)+SUMIF('12'!$A:$A,$B447,'12'!J:J)+SUMIF('13'!$A:$A,$B447,'13'!J:J)+SUMIF('15'!$A:$A,$B447,'15'!J:J)+SUMIF('17'!$A:$A,$B447,'17'!J:J)+SUMIF('20'!$A:$A,$B447,'20'!J:J)+SUMIF('30'!$A:$A,$B447,'30'!J:J)+SUMIF('35'!$A:$A,$B447,'35'!J:J)+SUMIF('40'!$A:$A,$B447,'40'!J:J)+SUMIF('45'!$A:$A,$B447,'45'!J:J)</f>
        <v>446100</v>
      </c>
    </row>
    <row r="448" spans="2:12" x14ac:dyDescent="0.2">
      <c r="B448" s="37">
        <v>240</v>
      </c>
      <c r="C448" s="37"/>
      <c r="D448" s="56" t="s">
        <v>215</v>
      </c>
      <c r="E448" s="50"/>
      <c r="F448" s="50"/>
      <c r="G448" s="61">
        <f>SUMIF('05'!$A:$A,$B448,'05'!E:E)+SUMIF('07'!$A:$A,$B448,'07'!E:E)+SUMIF('08'!$A:$A,$B448,'08'!E:E)+SUMIF('09'!$A:$A,$B448,'09'!E:E)+SUMIF('10'!$A:$A,$B448,'10'!E:E)+SUMIF('11'!$A:$A,$B448,'11'!E:E)+SUMIF('12'!$A:$A,$B448,'12'!E:E)+SUMIF('13'!$A:$A,$B448,'13'!E:E)+SUMIF('15'!$A:$A,$B448,'15'!E:E)+SUMIF('17'!$A:$A,$B448,'17'!E:E)+SUMIF('20'!$A:$A,$B448,'20'!E:E)+SUMIF('30'!$A:$A,$B448,'30'!E:E)+SUMIF('35'!$A:$A,$B448,'35'!E:E)+SUMIF('40'!$A:$A,$B448,'40'!E:E)+SUMIF('45'!$A:$A,$B448,'45'!E:E)</f>
        <v>37660.589999999997</v>
      </c>
      <c r="H448" s="61">
        <f>SUMIF('05'!$A:$A,$B448,'05'!F:F)+SUMIF('07'!$A:$A,$B448,'07'!F:F)+SUMIF('08'!$A:$A,$B448,'08'!F:F)+SUMIF('09'!$A:$A,$B448,'09'!F:F)+SUMIF('10'!$A:$A,$B448,'10'!F:F)+SUMIF('11'!$A:$A,$B448,'11'!F:F)+SUMIF('12'!$A:$A,$B448,'12'!F:F)+SUMIF('13'!$A:$A,$B448,'13'!F:F)+SUMIF('15'!$A:$A,$B448,'15'!F:F)+SUMIF('17'!$A:$A,$B448,'17'!F:F)+SUMIF('20'!$A:$A,$B448,'20'!F:F)+SUMIF('30'!$A:$A,$B448,'30'!F:F)+SUMIF('35'!$A:$A,$B448,'35'!F:F)+SUMIF('40'!$A:$A,$B448,'40'!F:F)+SUMIF('45'!$A:$A,$B448,'45'!F:F)</f>
        <v>45000</v>
      </c>
      <c r="I448" s="61">
        <f>SUMIF('05'!$A:$A,$B448,'05'!G:G)+SUMIF('07'!$A:$A,$B448,'07'!G:G)+SUMIF('08'!$A:$A,$B448,'08'!G:G)+SUMIF('09'!$A:$A,$B448,'09'!G:G)+SUMIF('10'!$A:$A,$B448,'10'!G:G)+SUMIF('11'!$A:$A,$B448,'11'!G:G)+SUMIF('12'!$A:$A,$B448,'12'!G:G)+SUMIF('13'!$A:$A,$B448,'13'!G:G)+SUMIF('15'!$A:$A,$B448,'15'!G:G)+SUMIF('17'!$A:$A,$B448,'17'!G:G)+SUMIF('20'!$A:$A,$B448,'20'!G:G)+SUMIF('30'!$A:$A,$B448,'30'!G:G)+SUMIF('35'!$A:$A,$B448,'35'!G:G)+SUMIF('40'!$A:$A,$B448,'40'!G:G)+SUMIF('45'!$A:$A,$B448,'45'!G:G)</f>
        <v>52900</v>
      </c>
      <c r="J448" s="61">
        <f>SUMIF('05'!$A:$A,$B448,'05'!H:H)+SUMIF('07'!$A:$A,$B448,'07'!H:H)+SUMIF('08'!$A:$A,$B448,'08'!H:H)+SUMIF('09'!$A:$A,$B448,'09'!H:H)+SUMIF('10'!$A:$A,$B448,'10'!H:H)+SUMIF('11'!$A:$A,$B448,'11'!H:H)+SUMIF('12'!$A:$A,$B448,'12'!H:H)+SUMIF('13'!$A:$A,$B448,'13'!H:H)+SUMIF('15'!$A:$A,$B448,'15'!H:H)+SUMIF('17'!$A:$A,$B448,'17'!H:H)+SUMIF('20'!$A:$A,$B448,'20'!H:H)+SUMIF('30'!$A:$A,$B448,'30'!H:H)+SUMIF('35'!$A:$A,$B448,'35'!H:H)+SUMIF('40'!$A:$A,$B448,'40'!H:H)+SUMIF('45'!$A:$A,$B448,'45'!H:H)</f>
        <v>40000</v>
      </c>
      <c r="K448" s="61">
        <f>SUMIF('05'!$A:$A,$B448,'05'!I:I)+SUMIF('07'!$A:$A,$B448,'07'!I:I)+SUMIF('08'!$A:$A,$B448,'08'!I:I)+SUMIF('09'!$A:$A,$B448,'09'!I:I)+SUMIF('10'!$A:$A,$B448,'10'!I:I)+SUMIF('11'!$A:$A,$B448,'11'!I:I)+SUMIF('12'!$A:$A,$B448,'12'!I:I)+SUMIF('13'!$A:$A,$B448,'13'!I:I)+SUMIF('15'!$A:$A,$B448,'15'!I:I)+SUMIF('17'!$A:$A,$B448,'17'!I:I)+SUMIF('20'!$A:$A,$B448,'20'!I:I)+SUMIF('30'!$A:$A,$B448,'30'!I:I)+SUMIF('35'!$A:$A,$B448,'35'!I:I)+SUMIF('40'!$A:$A,$B448,'40'!I:I)+SUMIF('45'!$A:$A,$B448,'45'!I:I)</f>
        <v>40000</v>
      </c>
      <c r="L448" s="61">
        <f>SUMIF('05'!$A:$A,$B448,'05'!J:J)+SUMIF('07'!$A:$A,$B448,'07'!J:J)+SUMIF('08'!$A:$A,$B448,'08'!J:J)+SUMIF('09'!$A:$A,$B448,'09'!J:J)+SUMIF('10'!$A:$A,$B448,'10'!J:J)+SUMIF('11'!$A:$A,$B448,'11'!J:J)+SUMIF('12'!$A:$A,$B448,'12'!J:J)+SUMIF('13'!$A:$A,$B448,'13'!J:J)+SUMIF('15'!$A:$A,$B448,'15'!J:J)+SUMIF('17'!$A:$A,$B448,'17'!J:J)+SUMIF('20'!$A:$A,$B448,'20'!J:J)+SUMIF('30'!$A:$A,$B448,'30'!J:J)+SUMIF('35'!$A:$A,$B448,'35'!J:J)+SUMIF('40'!$A:$A,$B448,'40'!J:J)+SUMIF('45'!$A:$A,$B448,'45'!J:J)</f>
        <v>40000</v>
      </c>
    </row>
    <row r="449" spans="2:12" x14ac:dyDescent="0.2">
      <c r="B449" s="37">
        <v>242</v>
      </c>
      <c r="C449" s="37"/>
      <c r="D449" s="56" t="s">
        <v>216</v>
      </c>
      <c r="E449" s="50"/>
      <c r="F449" s="50"/>
      <c r="G449" s="61">
        <f>SUMIF('05'!$A:$A,$B449,'05'!E:E)+SUMIF('07'!$A:$A,$B449,'07'!E:E)+SUMIF('08'!$A:$A,$B449,'08'!E:E)+SUMIF('09'!$A:$A,$B449,'09'!E:E)+SUMIF('10'!$A:$A,$B449,'10'!E:E)+SUMIF('11'!$A:$A,$B449,'11'!E:E)+SUMIF('12'!$A:$A,$B449,'12'!E:E)+SUMIF('13'!$A:$A,$B449,'13'!E:E)+SUMIF('15'!$A:$A,$B449,'15'!E:E)+SUMIF('17'!$A:$A,$B449,'17'!E:E)+SUMIF('20'!$A:$A,$B449,'20'!E:E)+SUMIF('30'!$A:$A,$B449,'30'!E:E)+SUMIF('35'!$A:$A,$B449,'35'!E:E)+SUMIF('40'!$A:$A,$B449,'40'!E:E)+SUMIF('45'!$A:$A,$B449,'45'!E:E)</f>
        <v>2069575.1300000001</v>
      </c>
      <c r="H449" s="61">
        <f>SUMIF('05'!$A:$A,$B449,'05'!F:F)+SUMIF('07'!$A:$A,$B449,'07'!F:F)+SUMIF('08'!$A:$A,$B449,'08'!F:F)+SUMIF('09'!$A:$A,$B449,'09'!F:F)+SUMIF('10'!$A:$A,$B449,'10'!F:F)+SUMIF('11'!$A:$A,$B449,'11'!F:F)+SUMIF('12'!$A:$A,$B449,'12'!F:F)+SUMIF('13'!$A:$A,$B449,'13'!F:F)+SUMIF('15'!$A:$A,$B449,'15'!F:F)+SUMIF('17'!$A:$A,$B449,'17'!F:F)+SUMIF('20'!$A:$A,$B449,'20'!F:F)+SUMIF('30'!$A:$A,$B449,'30'!F:F)+SUMIF('35'!$A:$A,$B449,'35'!F:F)+SUMIF('40'!$A:$A,$B449,'40'!F:F)+SUMIF('45'!$A:$A,$B449,'45'!F:F)</f>
        <v>2346800</v>
      </c>
      <c r="I449" s="61">
        <f>SUMIF('05'!$A:$A,$B449,'05'!G:G)+SUMIF('07'!$A:$A,$B449,'07'!G:G)+SUMIF('08'!$A:$A,$B449,'08'!G:G)+SUMIF('09'!$A:$A,$B449,'09'!G:G)+SUMIF('10'!$A:$A,$B449,'10'!G:G)+SUMIF('11'!$A:$A,$B449,'11'!G:G)+SUMIF('12'!$A:$A,$B449,'12'!G:G)+SUMIF('13'!$A:$A,$B449,'13'!G:G)+SUMIF('15'!$A:$A,$B449,'15'!G:G)+SUMIF('17'!$A:$A,$B449,'17'!G:G)+SUMIF('20'!$A:$A,$B449,'20'!G:G)+SUMIF('30'!$A:$A,$B449,'30'!G:G)+SUMIF('35'!$A:$A,$B449,'35'!G:G)+SUMIF('40'!$A:$A,$B449,'40'!G:G)+SUMIF('45'!$A:$A,$B449,'45'!G:G)</f>
        <v>2552500</v>
      </c>
      <c r="J449" s="61">
        <f>SUMIF('05'!$A:$A,$B449,'05'!H:H)+SUMIF('07'!$A:$A,$B449,'07'!H:H)+SUMIF('08'!$A:$A,$B449,'08'!H:H)+SUMIF('09'!$A:$A,$B449,'09'!H:H)+SUMIF('10'!$A:$A,$B449,'10'!H:H)+SUMIF('11'!$A:$A,$B449,'11'!H:H)+SUMIF('12'!$A:$A,$B449,'12'!H:H)+SUMIF('13'!$A:$A,$B449,'13'!H:H)+SUMIF('15'!$A:$A,$B449,'15'!H:H)+SUMIF('17'!$A:$A,$B449,'17'!H:H)+SUMIF('20'!$A:$A,$B449,'20'!H:H)+SUMIF('30'!$A:$A,$B449,'30'!H:H)+SUMIF('35'!$A:$A,$B449,'35'!H:H)+SUMIF('40'!$A:$A,$B449,'40'!H:H)+SUMIF('45'!$A:$A,$B449,'45'!H:H)</f>
        <v>2541800</v>
      </c>
      <c r="K449" s="61">
        <f>SUMIF('05'!$A:$A,$B449,'05'!I:I)+SUMIF('07'!$A:$A,$B449,'07'!I:I)+SUMIF('08'!$A:$A,$B449,'08'!I:I)+SUMIF('09'!$A:$A,$B449,'09'!I:I)+SUMIF('10'!$A:$A,$B449,'10'!I:I)+SUMIF('11'!$A:$A,$B449,'11'!I:I)+SUMIF('12'!$A:$A,$B449,'12'!I:I)+SUMIF('13'!$A:$A,$B449,'13'!I:I)+SUMIF('15'!$A:$A,$B449,'15'!I:I)+SUMIF('17'!$A:$A,$B449,'17'!I:I)+SUMIF('20'!$A:$A,$B449,'20'!I:I)+SUMIF('30'!$A:$A,$B449,'30'!I:I)+SUMIF('35'!$A:$A,$B449,'35'!I:I)+SUMIF('40'!$A:$A,$B449,'40'!I:I)+SUMIF('45'!$A:$A,$B449,'45'!I:I)</f>
        <v>2541800</v>
      </c>
      <c r="L449" s="61">
        <f>SUMIF('05'!$A:$A,$B449,'05'!J:J)+SUMIF('07'!$A:$A,$B449,'07'!J:J)+SUMIF('08'!$A:$A,$B449,'08'!J:J)+SUMIF('09'!$A:$A,$B449,'09'!J:J)+SUMIF('10'!$A:$A,$B449,'10'!J:J)+SUMIF('11'!$A:$A,$B449,'11'!J:J)+SUMIF('12'!$A:$A,$B449,'12'!J:J)+SUMIF('13'!$A:$A,$B449,'13'!J:J)+SUMIF('15'!$A:$A,$B449,'15'!J:J)+SUMIF('17'!$A:$A,$B449,'17'!J:J)+SUMIF('20'!$A:$A,$B449,'20'!J:J)+SUMIF('30'!$A:$A,$B449,'30'!J:J)+SUMIF('35'!$A:$A,$B449,'35'!J:J)+SUMIF('40'!$A:$A,$B449,'40'!J:J)+SUMIF('45'!$A:$A,$B449,'45'!J:J)</f>
        <v>2541800</v>
      </c>
    </row>
    <row r="450" spans="2:12" x14ac:dyDescent="0.2">
      <c r="B450" s="37">
        <v>244</v>
      </c>
      <c r="C450" s="37"/>
      <c r="D450" s="56" t="s">
        <v>217</v>
      </c>
      <c r="E450" s="50"/>
      <c r="F450" s="50"/>
      <c r="G450" s="61">
        <f>SUMIF('05'!$A:$A,$B450,'05'!E:E)+SUMIF('07'!$A:$A,$B450,'07'!E:E)+SUMIF('08'!$A:$A,$B450,'08'!E:E)+SUMIF('09'!$A:$A,$B450,'09'!E:E)+SUMIF('10'!$A:$A,$B450,'10'!E:E)+SUMIF('11'!$A:$A,$B450,'11'!E:E)+SUMIF('12'!$A:$A,$B450,'12'!E:E)+SUMIF('13'!$A:$A,$B450,'13'!E:E)+SUMIF('15'!$A:$A,$B450,'15'!E:E)+SUMIF('17'!$A:$A,$B450,'17'!E:E)+SUMIF('20'!$A:$A,$B450,'20'!E:E)+SUMIF('30'!$A:$A,$B450,'30'!E:E)+SUMIF('35'!$A:$A,$B450,'35'!E:E)+SUMIF('40'!$A:$A,$B450,'40'!E:E)+SUMIF('45'!$A:$A,$B450,'45'!E:E)</f>
        <v>41581.949999999997</v>
      </c>
      <c r="H450" s="61">
        <f>SUMIF('05'!$A:$A,$B450,'05'!F:F)+SUMIF('07'!$A:$A,$B450,'07'!F:F)+SUMIF('08'!$A:$A,$B450,'08'!F:F)+SUMIF('09'!$A:$A,$B450,'09'!F:F)+SUMIF('10'!$A:$A,$B450,'10'!F:F)+SUMIF('11'!$A:$A,$B450,'11'!F:F)+SUMIF('12'!$A:$A,$B450,'12'!F:F)+SUMIF('13'!$A:$A,$B450,'13'!F:F)+SUMIF('15'!$A:$A,$B450,'15'!F:F)+SUMIF('17'!$A:$A,$B450,'17'!F:F)+SUMIF('20'!$A:$A,$B450,'20'!F:F)+SUMIF('30'!$A:$A,$B450,'30'!F:F)+SUMIF('35'!$A:$A,$B450,'35'!F:F)+SUMIF('40'!$A:$A,$B450,'40'!F:F)+SUMIF('45'!$A:$A,$B450,'45'!F:F)</f>
        <v>48000</v>
      </c>
      <c r="I450" s="61">
        <f>SUMIF('05'!$A:$A,$B450,'05'!G:G)+SUMIF('07'!$A:$A,$B450,'07'!G:G)+SUMIF('08'!$A:$A,$B450,'08'!G:G)+SUMIF('09'!$A:$A,$B450,'09'!G:G)+SUMIF('10'!$A:$A,$B450,'10'!G:G)+SUMIF('11'!$A:$A,$B450,'11'!G:G)+SUMIF('12'!$A:$A,$B450,'12'!G:G)+SUMIF('13'!$A:$A,$B450,'13'!G:G)+SUMIF('15'!$A:$A,$B450,'15'!G:G)+SUMIF('17'!$A:$A,$B450,'17'!G:G)+SUMIF('20'!$A:$A,$B450,'20'!G:G)+SUMIF('30'!$A:$A,$B450,'30'!G:G)+SUMIF('35'!$A:$A,$B450,'35'!G:G)+SUMIF('40'!$A:$A,$B450,'40'!G:G)+SUMIF('45'!$A:$A,$B450,'45'!G:G)</f>
        <v>48000</v>
      </c>
      <c r="J450" s="61">
        <f>SUMIF('05'!$A:$A,$B450,'05'!H:H)+SUMIF('07'!$A:$A,$B450,'07'!H:H)+SUMIF('08'!$A:$A,$B450,'08'!H:H)+SUMIF('09'!$A:$A,$B450,'09'!H:H)+SUMIF('10'!$A:$A,$B450,'10'!H:H)+SUMIF('11'!$A:$A,$B450,'11'!H:H)+SUMIF('12'!$A:$A,$B450,'12'!H:H)+SUMIF('13'!$A:$A,$B450,'13'!H:H)+SUMIF('15'!$A:$A,$B450,'15'!H:H)+SUMIF('17'!$A:$A,$B450,'17'!H:H)+SUMIF('20'!$A:$A,$B450,'20'!H:H)+SUMIF('30'!$A:$A,$B450,'30'!H:H)+SUMIF('35'!$A:$A,$B450,'35'!H:H)+SUMIF('40'!$A:$A,$B450,'40'!H:H)+SUMIF('45'!$A:$A,$B450,'45'!H:H)</f>
        <v>43000</v>
      </c>
      <c r="K450" s="61">
        <f>SUMIF('05'!$A:$A,$B450,'05'!I:I)+SUMIF('07'!$A:$A,$B450,'07'!I:I)+SUMIF('08'!$A:$A,$B450,'08'!I:I)+SUMIF('09'!$A:$A,$B450,'09'!I:I)+SUMIF('10'!$A:$A,$B450,'10'!I:I)+SUMIF('11'!$A:$A,$B450,'11'!I:I)+SUMIF('12'!$A:$A,$B450,'12'!I:I)+SUMIF('13'!$A:$A,$B450,'13'!I:I)+SUMIF('15'!$A:$A,$B450,'15'!I:I)+SUMIF('17'!$A:$A,$B450,'17'!I:I)+SUMIF('20'!$A:$A,$B450,'20'!I:I)+SUMIF('30'!$A:$A,$B450,'30'!I:I)+SUMIF('35'!$A:$A,$B450,'35'!I:I)+SUMIF('40'!$A:$A,$B450,'40'!I:I)+SUMIF('45'!$A:$A,$B450,'45'!I:I)</f>
        <v>43000</v>
      </c>
      <c r="L450" s="61">
        <f>SUMIF('05'!$A:$A,$B450,'05'!J:J)+SUMIF('07'!$A:$A,$B450,'07'!J:J)+SUMIF('08'!$A:$A,$B450,'08'!J:J)+SUMIF('09'!$A:$A,$B450,'09'!J:J)+SUMIF('10'!$A:$A,$B450,'10'!J:J)+SUMIF('11'!$A:$A,$B450,'11'!J:J)+SUMIF('12'!$A:$A,$B450,'12'!J:J)+SUMIF('13'!$A:$A,$B450,'13'!J:J)+SUMIF('15'!$A:$A,$B450,'15'!J:J)+SUMIF('17'!$A:$A,$B450,'17'!J:J)+SUMIF('20'!$A:$A,$B450,'20'!J:J)+SUMIF('30'!$A:$A,$B450,'30'!J:J)+SUMIF('35'!$A:$A,$B450,'35'!J:J)+SUMIF('40'!$A:$A,$B450,'40'!J:J)+SUMIF('45'!$A:$A,$B450,'45'!J:J)</f>
        <v>43000</v>
      </c>
    </row>
    <row r="451" spans="2:12" x14ac:dyDescent="0.2">
      <c r="B451" s="37">
        <v>246</v>
      </c>
      <c r="C451" s="37"/>
      <c r="D451" s="56" t="s">
        <v>218</v>
      </c>
      <c r="E451" s="50"/>
      <c r="F451" s="50"/>
      <c r="G451" s="61">
        <f>SUMIF('05'!$A:$A,$B451,'05'!E:E)+SUMIF('07'!$A:$A,$B451,'07'!E:E)+SUMIF('08'!$A:$A,$B451,'08'!E:E)+SUMIF('09'!$A:$A,$B451,'09'!E:E)+SUMIF('10'!$A:$A,$B451,'10'!E:E)+SUMIF('11'!$A:$A,$B451,'11'!E:E)+SUMIF('12'!$A:$A,$B451,'12'!E:E)+SUMIF('13'!$A:$A,$B451,'13'!E:E)+SUMIF('15'!$A:$A,$B451,'15'!E:E)+SUMIF('17'!$A:$A,$B451,'17'!E:E)+SUMIF('20'!$A:$A,$B451,'20'!E:E)+SUMIF('30'!$A:$A,$B451,'30'!E:E)+SUMIF('35'!$A:$A,$B451,'35'!E:E)+SUMIF('40'!$A:$A,$B451,'40'!E:E)+SUMIF('45'!$A:$A,$B451,'45'!E:E)</f>
        <v>160542.75</v>
      </c>
      <c r="H451" s="61">
        <f>SUMIF('05'!$A:$A,$B451,'05'!F:F)+SUMIF('07'!$A:$A,$B451,'07'!F:F)+SUMIF('08'!$A:$A,$B451,'08'!F:F)+SUMIF('09'!$A:$A,$B451,'09'!F:F)+SUMIF('10'!$A:$A,$B451,'10'!F:F)+SUMIF('11'!$A:$A,$B451,'11'!F:F)+SUMIF('12'!$A:$A,$B451,'12'!F:F)+SUMIF('13'!$A:$A,$B451,'13'!F:F)+SUMIF('15'!$A:$A,$B451,'15'!F:F)+SUMIF('17'!$A:$A,$B451,'17'!F:F)+SUMIF('20'!$A:$A,$B451,'20'!F:F)+SUMIF('30'!$A:$A,$B451,'30'!F:F)+SUMIF('35'!$A:$A,$B451,'35'!F:F)+SUMIF('40'!$A:$A,$B451,'40'!F:F)+SUMIF('45'!$A:$A,$B451,'45'!F:F)</f>
        <v>245800</v>
      </c>
      <c r="I451" s="61">
        <f>SUMIF('05'!$A:$A,$B451,'05'!G:G)+SUMIF('07'!$A:$A,$B451,'07'!G:G)+SUMIF('08'!$A:$A,$B451,'08'!G:G)+SUMIF('09'!$A:$A,$B451,'09'!G:G)+SUMIF('10'!$A:$A,$B451,'10'!G:G)+SUMIF('11'!$A:$A,$B451,'11'!G:G)+SUMIF('12'!$A:$A,$B451,'12'!G:G)+SUMIF('13'!$A:$A,$B451,'13'!G:G)+SUMIF('15'!$A:$A,$B451,'15'!G:G)+SUMIF('17'!$A:$A,$B451,'17'!G:G)+SUMIF('20'!$A:$A,$B451,'20'!G:G)+SUMIF('30'!$A:$A,$B451,'30'!G:G)+SUMIF('35'!$A:$A,$B451,'35'!G:G)+SUMIF('40'!$A:$A,$B451,'40'!G:G)+SUMIF('45'!$A:$A,$B451,'45'!G:G)</f>
        <v>232600</v>
      </c>
      <c r="J451" s="61">
        <f>SUMIF('05'!$A:$A,$B451,'05'!H:H)+SUMIF('07'!$A:$A,$B451,'07'!H:H)+SUMIF('08'!$A:$A,$B451,'08'!H:H)+SUMIF('09'!$A:$A,$B451,'09'!H:H)+SUMIF('10'!$A:$A,$B451,'10'!H:H)+SUMIF('11'!$A:$A,$B451,'11'!H:H)+SUMIF('12'!$A:$A,$B451,'12'!H:H)+SUMIF('13'!$A:$A,$B451,'13'!H:H)+SUMIF('15'!$A:$A,$B451,'15'!H:H)+SUMIF('17'!$A:$A,$B451,'17'!H:H)+SUMIF('20'!$A:$A,$B451,'20'!H:H)+SUMIF('30'!$A:$A,$B451,'30'!H:H)+SUMIF('35'!$A:$A,$B451,'35'!H:H)+SUMIF('40'!$A:$A,$B451,'40'!H:H)+SUMIF('45'!$A:$A,$B451,'45'!H:H)</f>
        <v>230300</v>
      </c>
      <c r="K451" s="61">
        <f>SUMIF('05'!$A:$A,$B451,'05'!I:I)+SUMIF('07'!$A:$A,$B451,'07'!I:I)+SUMIF('08'!$A:$A,$B451,'08'!I:I)+SUMIF('09'!$A:$A,$B451,'09'!I:I)+SUMIF('10'!$A:$A,$B451,'10'!I:I)+SUMIF('11'!$A:$A,$B451,'11'!I:I)+SUMIF('12'!$A:$A,$B451,'12'!I:I)+SUMIF('13'!$A:$A,$B451,'13'!I:I)+SUMIF('15'!$A:$A,$B451,'15'!I:I)+SUMIF('17'!$A:$A,$B451,'17'!I:I)+SUMIF('20'!$A:$A,$B451,'20'!I:I)+SUMIF('30'!$A:$A,$B451,'30'!I:I)+SUMIF('35'!$A:$A,$B451,'35'!I:I)+SUMIF('40'!$A:$A,$B451,'40'!I:I)+SUMIF('45'!$A:$A,$B451,'45'!I:I)</f>
        <v>229300</v>
      </c>
      <c r="L451" s="61">
        <f>SUMIF('05'!$A:$A,$B451,'05'!J:J)+SUMIF('07'!$A:$A,$B451,'07'!J:J)+SUMIF('08'!$A:$A,$B451,'08'!J:J)+SUMIF('09'!$A:$A,$B451,'09'!J:J)+SUMIF('10'!$A:$A,$B451,'10'!J:J)+SUMIF('11'!$A:$A,$B451,'11'!J:J)+SUMIF('12'!$A:$A,$B451,'12'!J:J)+SUMIF('13'!$A:$A,$B451,'13'!J:J)+SUMIF('15'!$A:$A,$B451,'15'!J:J)+SUMIF('17'!$A:$A,$B451,'17'!J:J)+SUMIF('20'!$A:$A,$B451,'20'!J:J)+SUMIF('30'!$A:$A,$B451,'30'!J:J)+SUMIF('35'!$A:$A,$B451,'35'!J:J)+SUMIF('40'!$A:$A,$B451,'40'!J:J)+SUMIF('45'!$A:$A,$B451,'45'!J:J)</f>
        <v>229300</v>
      </c>
    </row>
    <row r="452" spans="2:12" x14ac:dyDescent="0.2">
      <c r="B452" s="37">
        <v>247</v>
      </c>
      <c r="C452" s="37"/>
      <c r="D452" s="56" t="s">
        <v>219</v>
      </c>
      <c r="E452" s="50"/>
      <c r="F452" s="50"/>
      <c r="G452" s="61">
        <f>SUMIF('05'!$A:$A,$B452,'05'!E:E)+SUMIF('07'!$A:$A,$B452,'07'!E:E)+SUMIF('08'!$A:$A,$B452,'08'!E:E)+SUMIF('09'!$A:$A,$B452,'09'!E:E)+SUMIF('10'!$A:$A,$B452,'10'!E:E)+SUMIF('11'!$A:$A,$B452,'11'!E:E)+SUMIF('12'!$A:$A,$B452,'12'!E:E)+SUMIF('13'!$A:$A,$B452,'13'!E:E)+SUMIF('15'!$A:$A,$B452,'15'!E:E)+SUMIF('17'!$A:$A,$B452,'17'!E:E)+SUMIF('20'!$A:$A,$B452,'20'!E:E)+SUMIF('30'!$A:$A,$B452,'30'!E:E)+SUMIF('35'!$A:$A,$B452,'35'!E:E)+SUMIF('40'!$A:$A,$B452,'40'!E:E)+SUMIF('45'!$A:$A,$B452,'45'!E:E)</f>
        <v>0</v>
      </c>
      <c r="H452" s="61">
        <f>SUMIF('05'!$A:$A,$B452,'05'!F:F)+SUMIF('07'!$A:$A,$B452,'07'!F:F)+SUMIF('08'!$A:$A,$B452,'08'!F:F)+SUMIF('09'!$A:$A,$B452,'09'!F:F)+SUMIF('10'!$A:$A,$B452,'10'!F:F)+SUMIF('11'!$A:$A,$B452,'11'!F:F)+SUMIF('12'!$A:$A,$B452,'12'!F:F)+SUMIF('13'!$A:$A,$B452,'13'!F:F)+SUMIF('15'!$A:$A,$B452,'15'!F:F)+SUMIF('17'!$A:$A,$B452,'17'!F:F)+SUMIF('20'!$A:$A,$B452,'20'!F:F)+SUMIF('30'!$A:$A,$B452,'30'!F:F)+SUMIF('35'!$A:$A,$B452,'35'!F:F)+SUMIF('40'!$A:$A,$B452,'40'!F:F)+SUMIF('45'!$A:$A,$B452,'45'!F:F)</f>
        <v>0</v>
      </c>
      <c r="I452" s="61">
        <f>SUMIF('05'!$A:$A,$B452,'05'!G:G)+SUMIF('07'!$A:$A,$B452,'07'!G:G)+SUMIF('08'!$A:$A,$B452,'08'!G:G)+SUMIF('09'!$A:$A,$B452,'09'!G:G)+SUMIF('10'!$A:$A,$B452,'10'!G:G)+SUMIF('11'!$A:$A,$B452,'11'!G:G)+SUMIF('12'!$A:$A,$B452,'12'!G:G)+SUMIF('13'!$A:$A,$B452,'13'!G:G)+SUMIF('15'!$A:$A,$B452,'15'!G:G)+SUMIF('17'!$A:$A,$B452,'17'!G:G)+SUMIF('20'!$A:$A,$B452,'20'!G:G)+SUMIF('30'!$A:$A,$B452,'30'!G:G)+SUMIF('35'!$A:$A,$B452,'35'!G:G)+SUMIF('40'!$A:$A,$B452,'40'!G:G)+SUMIF('45'!$A:$A,$B452,'45'!G:G)</f>
        <v>0</v>
      </c>
      <c r="J452" s="61">
        <f>SUMIF('05'!$A:$A,$B452,'05'!H:H)+SUMIF('07'!$A:$A,$B452,'07'!H:H)+SUMIF('08'!$A:$A,$B452,'08'!H:H)+SUMIF('09'!$A:$A,$B452,'09'!H:H)+SUMIF('10'!$A:$A,$B452,'10'!H:H)+SUMIF('11'!$A:$A,$B452,'11'!H:H)+SUMIF('12'!$A:$A,$B452,'12'!H:H)+SUMIF('13'!$A:$A,$B452,'13'!H:H)+SUMIF('15'!$A:$A,$B452,'15'!H:H)+SUMIF('17'!$A:$A,$B452,'17'!H:H)+SUMIF('20'!$A:$A,$B452,'20'!H:H)+SUMIF('30'!$A:$A,$B452,'30'!H:H)+SUMIF('35'!$A:$A,$B452,'35'!H:H)+SUMIF('40'!$A:$A,$B452,'40'!H:H)+SUMIF('45'!$A:$A,$B452,'45'!H:H)</f>
        <v>0</v>
      </c>
      <c r="K452" s="61">
        <f>SUMIF('05'!$A:$A,$B452,'05'!I:I)+SUMIF('07'!$A:$A,$B452,'07'!I:I)+SUMIF('08'!$A:$A,$B452,'08'!I:I)+SUMIF('09'!$A:$A,$B452,'09'!I:I)+SUMIF('10'!$A:$A,$B452,'10'!I:I)+SUMIF('11'!$A:$A,$B452,'11'!I:I)+SUMIF('12'!$A:$A,$B452,'12'!I:I)+SUMIF('13'!$A:$A,$B452,'13'!I:I)+SUMIF('15'!$A:$A,$B452,'15'!I:I)+SUMIF('17'!$A:$A,$B452,'17'!I:I)+SUMIF('20'!$A:$A,$B452,'20'!I:I)+SUMIF('30'!$A:$A,$B452,'30'!I:I)+SUMIF('35'!$A:$A,$B452,'35'!I:I)+SUMIF('40'!$A:$A,$B452,'40'!I:I)+SUMIF('45'!$A:$A,$B452,'45'!I:I)</f>
        <v>0</v>
      </c>
      <c r="L452" s="61">
        <f>SUMIF('05'!$A:$A,$B452,'05'!J:J)+SUMIF('07'!$A:$A,$B452,'07'!J:J)+SUMIF('08'!$A:$A,$B452,'08'!J:J)+SUMIF('09'!$A:$A,$B452,'09'!J:J)+SUMIF('10'!$A:$A,$B452,'10'!J:J)+SUMIF('11'!$A:$A,$B452,'11'!J:J)+SUMIF('12'!$A:$A,$B452,'12'!J:J)+SUMIF('13'!$A:$A,$B452,'13'!J:J)+SUMIF('15'!$A:$A,$B452,'15'!J:J)+SUMIF('17'!$A:$A,$B452,'17'!J:J)+SUMIF('20'!$A:$A,$B452,'20'!J:J)+SUMIF('30'!$A:$A,$B452,'30'!J:J)+SUMIF('35'!$A:$A,$B452,'35'!J:J)+SUMIF('40'!$A:$A,$B452,'40'!J:J)+SUMIF('45'!$A:$A,$B452,'45'!J:J)</f>
        <v>0</v>
      </c>
    </row>
    <row r="453" spans="2:12" x14ac:dyDescent="0.2">
      <c r="B453" s="37">
        <v>260</v>
      </c>
      <c r="C453" s="37"/>
      <c r="D453" s="56" t="s">
        <v>220</v>
      </c>
      <c r="E453" s="50"/>
      <c r="F453" s="50"/>
      <c r="G453" s="61">
        <f>SUMIF('05'!$A:$A,$B453,'05'!E:E)+SUMIF('07'!$A:$A,$B453,'07'!E:E)+SUMIF('08'!$A:$A,$B453,'08'!E:E)+SUMIF('09'!$A:$A,$B453,'09'!E:E)+SUMIF('10'!$A:$A,$B453,'10'!E:E)+SUMIF('11'!$A:$A,$B453,'11'!E:E)+SUMIF('12'!$A:$A,$B453,'12'!E:E)+SUMIF('13'!$A:$A,$B453,'13'!E:E)+SUMIF('15'!$A:$A,$B453,'15'!E:E)+SUMIF('17'!$A:$A,$B453,'17'!E:E)+SUMIF('20'!$A:$A,$B453,'20'!E:E)+SUMIF('30'!$A:$A,$B453,'30'!E:E)+SUMIF('35'!$A:$A,$B453,'35'!E:E)+SUMIF('40'!$A:$A,$B453,'40'!E:E)+SUMIF('45'!$A:$A,$B453,'45'!E:E)</f>
        <v>8471983.9100000001</v>
      </c>
      <c r="H453" s="61">
        <f>SUMIF('05'!$A:$A,$B453,'05'!F:F)+SUMIF('07'!$A:$A,$B453,'07'!F:F)+SUMIF('08'!$A:$A,$B453,'08'!F:F)+SUMIF('09'!$A:$A,$B453,'09'!F:F)+SUMIF('10'!$A:$A,$B453,'10'!F:F)+SUMIF('11'!$A:$A,$B453,'11'!F:F)+SUMIF('12'!$A:$A,$B453,'12'!F:F)+SUMIF('13'!$A:$A,$B453,'13'!F:F)+SUMIF('15'!$A:$A,$B453,'15'!F:F)+SUMIF('17'!$A:$A,$B453,'17'!F:F)+SUMIF('20'!$A:$A,$B453,'20'!F:F)+SUMIF('30'!$A:$A,$B453,'30'!F:F)+SUMIF('35'!$A:$A,$B453,'35'!F:F)+SUMIF('40'!$A:$A,$B453,'40'!F:F)+SUMIF('45'!$A:$A,$B453,'45'!F:F)</f>
        <v>6960900</v>
      </c>
      <c r="I453" s="61">
        <f>SUMIF('05'!$A:$A,$B453,'05'!G:G)+SUMIF('07'!$A:$A,$B453,'07'!G:G)+SUMIF('08'!$A:$A,$B453,'08'!G:G)+SUMIF('09'!$A:$A,$B453,'09'!G:G)+SUMIF('10'!$A:$A,$B453,'10'!G:G)+SUMIF('11'!$A:$A,$B453,'11'!G:G)+SUMIF('12'!$A:$A,$B453,'12'!G:G)+SUMIF('13'!$A:$A,$B453,'13'!G:G)+SUMIF('15'!$A:$A,$B453,'15'!G:G)+SUMIF('17'!$A:$A,$B453,'17'!G:G)+SUMIF('20'!$A:$A,$B453,'20'!G:G)+SUMIF('30'!$A:$A,$B453,'30'!G:G)+SUMIF('35'!$A:$A,$B453,'35'!G:G)+SUMIF('40'!$A:$A,$B453,'40'!G:G)+SUMIF('45'!$A:$A,$B453,'45'!G:G)</f>
        <v>6948200</v>
      </c>
      <c r="J453" s="61">
        <f>SUMIF('05'!$A:$A,$B453,'05'!H:H)+SUMIF('07'!$A:$A,$B453,'07'!H:H)+SUMIF('08'!$A:$A,$B453,'08'!H:H)+SUMIF('09'!$A:$A,$B453,'09'!H:H)+SUMIF('10'!$A:$A,$B453,'10'!H:H)+SUMIF('11'!$A:$A,$B453,'11'!H:H)+SUMIF('12'!$A:$A,$B453,'12'!H:H)+SUMIF('13'!$A:$A,$B453,'13'!H:H)+SUMIF('15'!$A:$A,$B453,'15'!H:H)+SUMIF('17'!$A:$A,$B453,'17'!H:H)+SUMIF('20'!$A:$A,$B453,'20'!H:H)+SUMIF('30'!$A:$A,$B453,'30'!H:H)+SUMIF('35'!$A:$A,$B453,'35'!H:H)+SUMIF('40'!$A:$A,$B453,'40'!H:H)+SUMIF('45'!$A:$A,$B453,'45'!H:H)</f>
        <v>6318900</v>
      </c>
      <c r="K453" s="61">
        <f>SUMIF('05'!$A:$A,$B453,'05'!I:I)+SUMIF('07'!$A:$A,$B453,'07'!I:I)+SUMIF('08'!$A:$A,$B453,'08'!I:I)+SUMIF('09'!$A:$A,$B453,'09'!I:I)+SUMIF('10'!$A:$A,$B453,'10'!I:I)+SUMIF('11'!$A:$A,$B453,'11'!I:I)+SUMIF('12'!$A:$A,$B453,'12'!I:I)+SUMIF('13'!$A:$A,$B453,'13'!I:I)+SUMIF('15'!$A:$A,$B453,'15'!I:I)+SUMIF('17'!$A:$A,$B453,'17'!I:I)+SUMIF('20'!$A:$A,$B453,'20'!I:I)+SUMIF('30'!$A:$A,$B453,'30'!I:I)+SUMIF('35'!$A:$A,$B453,'35'!I:I)+SUMIF('40'!$A:$A,$B453,'40'!I:I)+SUMIF('45'!$A:$A,$B453,'45'!I:I)</f>
        <v>6318900</v>
      </c>
      <c r="L453" s="61">
        <f>SUMIF('05'!$A:$A,$B453,'05'!J:J)+SUMIF('07'!$A:$A,$B453,'07'!J:J)+SUMIF('08'!$A:$A,$B453,'08'!J:J)+SUMIF('09'!$A:$A,$B453,'09'!J:J)+SUMIF('10'!$A:$A,$B453,'10'!J:J)+SUMIF('11'!$A:$A,$B453,'11'!J:J)+SUMIF('12'!$A:$A,$B453,'12'!J:J)+SUMIF('13'!$A:$A,$B453,'13'!J:J)+SUMIF('15'!$A:$A,$B453,'15'!J:J)+SUMIF('17'!$A:$A,$B453,'17'!J:J)+SUMIF('20'!$A:$A,$B453,'20'!J:J)+SUMIF('30'!$A:$A,$B453,'30'!J:J)+SUMIF('35'!$A:$A,$B453,'35'!J:J)+SUMIF('40'!$A:$A,$B453,'40'!J:J)+SUMIF('45'!$A:$A,$B453,'45'!J:J)</f>
        <v>6318900</v>
      </c>
    </row>
    <row r="454" spans="2:12" x14ac:dyDescent="0.2">
      <c r="B454" s="37">
        <v>261</v>
      </c>
      <c r="C454" s="37"/>
      <c r="D454" s="50" t="s">
        <v>221</v>
      </c>
      <c r="E454" s="50"/>
      <c r="F454" s="50"/>
      <c r="G454" s="61">
        <f>SUMIF('05'!$A:$A,$B454,'05'!E:E)+SUMIF('07'!$A:$A,$B454,'07'!E:E)+SUMIF('08'!$A:$A,$B454,'08'!E:E)+SUMIF('09'!$A:$A,$B454,'09'!E:E)+SUMIF('10'!$A:$A,$B454,'10'!E:E)+SUMIF('11'!$A:$A,$B454,'11'!E:E)+SUMIF('12'!$A:$A,$B454,'12'!E:E)+SUMIF('13'!$A:$A,$B454,'13'!E:E)+SUMIF('15'!$A:$A,$B454,'15'!E:E)+SUMIF('17'!$A:$A,$B454,'17'!E:E)+SUMIF('20'!$A:$A,$B454,'20'!E:E)+SUMIF('30'!$A:$A,$B454,'30'!E:E)+SUMIF('35'!$A:$A,$B454,'35'!E:E)+SUMIF('40'!$A:$A,$B454,'40'!E:E)+SUMIF('45'!$A:$A,$B454,'45'!E:E)</f>
        <v>17034860.289999999</v>
      </c>
      <c r="H454" s="61">
        <f>SUMIF('05'!$A:$A,$B454,'05'!F:F)+SUMIF('07'!$A:$A,$B454,'07'!F:F)+SUMIF('08'!$A:$A,$B454,'08'!F:F)+SUMIF('09'!$A:$A,$B454,'09'!F:F)+SUMIF('10'!$A:$A,$B454,'10'!F:F)+SUMIF('11'!$A:$A,$B454,'11'!F:F)+SUMIF('12'!$A:$A,$B454,'12'!F:F)+SUMIF('13'!$A:$A,$B454,'13'!F:F)+SUMIF('15'!$A:$A,$B454,'15'!F:F)+SUMIF('17'!$A:$A,$B454,'17'!F:F)+SUMIF('20'!$A:$A,$B454,'20'!F:F)+SUMIF('30'!$A:$A,$B454,'30'!F:F)+SUMIF('35'!$A:$A,$B454,'35'!F:F)+SUMIF('40'!$A:$A,$B454,'40'!F:F)+SUMIF('45'!$A:$A,$B454,'45'!F:F)</f>
        <v>17762200</v>
      </c>
      <c r="I454" s="61">
        <f>SUMIF('05'!$A:$A,$B454,'05'!G:G)+SUMIF('07'!$A:$A,$B454,'07'!G:G)+SUMIF('08'!$A:$A,$B454,'08'!G:G)+SUMIF('09'!$A:$A,$B454,'09'!G:G)+SUMIF('10'!$A:$A,$B454,'10'!G:G)+SUMIF('11'!$A:$A,$B454,'11'!G:G)+SUMIF('12'!$A:$A,$B454,'12'!G:G)+SUMIF('13'!$A:$A,$B454,'13'!G:G)+SUMIF('15'!$A:$A,$B454,'15'!G:G)+SUMIF('17'!$A:$A,$B454,'17'!G:G)+SUMIF('20'!$A:$A,$B454,'20'!G:G)+SUMIF('30'!$A:$A,$B454,'30'!G:G)+SUMIF('35'!$A:$A,$B454,'35'!G:G)+SUMIF('40'!$A:$A,$B454,'40'!G:G)+SUMIF('45'!$A:$A,$B454,'45'!G:G)</f>
        <v>17178100</v>
      </c>
      <c r="J454" s="61">
        <f>SUMIF('05'!$A:$A,$B454,'05'!H:H)+SUMIF('07'!$A:$A,$B454,'07'!H:H)+SUMIF('08'!$A:$A,$B454,'08'!H:H)+SUMIF('09'!$A:$A,$B454,'09'!H:H)+SUMIF('10'!$A:$A,$B454,'10'!H:H)+SUMIF('11'!$A:$A,$B454,'11'!H:H)+SUMIF('12'!$A:$A,$B454,'12'!H:H)+SUMIF('13'!$A:$A,$B454,'13'!H:H)+SUMIF('15'!$A:$A,$B454,'15'!H:H)+SUMIF('17'!$A:$A,$B454,'17'!H:H)+SUMIF('20'!$A:$A,$B454,'20'!H:H)+SUMIF('30'!$A:$A,$B454,'30'!H:H)+SUMIF('35'!$A:$A,$B454,'35'!H:H)+SUMIF('40'!$A:$A,$B454,'40'!H:H)+SUMIF('45'!$A:$A,$B454,'45'!H:H)</f>
        <v>17364100</v>
      </c>
      <c r="K454" s="61">
        <f>SUMIF('05'!$A:$A,$B454,'05'!I:I)+SUMIF('07'!$A:$A,$B454,'07'!I:I)+SUMIF('08'!$A:$A,$B454,'08'!I:I)+SUMIF('09'!$A:$A,$B454,'09'!I:I)+SUMIF('10'!$A:$A,$B454,'10'!I:I)+SUMIF('11'!$A:$A,$B454,'11'!I:I)+SUMIF('12'!$A:$A,$B454,'12'!I:I)+SUMIF('13'!$A:$A,$B454,'13'!I:I)+SUMIF('15'!$A:$A,$B454,'15'!I:I)+SUMIF('17'!$A:$A,$B454,'17'!I:I)+SUMIF('20'!$A:$A,$B454,'20'!I:I)+SUMIF('30'!$A:$A,$B454,'30'!I:I)+SUMIF('35'!$A:$A,$B454,'35'!I:I)+SUMIF('40'!$A:$A,$B454,'40'!I:I)+SUMIF('45'!$A:$A,$B454,'45'!I:I)</f>
        <v>17238100</v>
      </c>
      <c r="L454" s="61">
        <f>SUMIF('05'!$A:$A,$B454,'05'!J:J)+SUMIF('07'!$A:$A,$B454,'07'!J:J)+SUMIF('08'!$A:$A,$B454,'08'!J:J)+SUMIF('09'!$A:$A,$B454,'09'!J:J)+SUMIF('10'!$A:$A,$B454,'10'!J:J)+SUMIF('11'!$A:$A,$B454,'11'!J:J)+SUMIF('12'!$A:$A,$B454,'12'!J:J)+SUMIF('13'!$A:$A,$B454,'13'!J:J)+SUMIF('15'!$A:$A,$B454,'15'!J:J)+SUMIF('17'!$A:$A,$B454,'17'!J:J)+SUMIF('20'!$A:$A,$B454,'20'!J:J)+SUMIF('30'!$A:$A,$B454,'30'!J:J)+SUMIF('35'!$A:$A,$B454,'35'!J:J)+SUMIF('40'!$A:$A,$B454,'40'!J:J)+SUMIF('45'!$A:$A,$B454,'45'!J:J)</f>
        <v>17238100</v>
      </c>
    </row>
    <row r="455" spans="2:12" x14ac:dyDescent="0.2">
      <c r="B455" s="37">
        <v>265</v>
      </c>
      <c r="C455" s="37"/>
      <c r="D455" s="50" t="s">
        <v>222</v>
      </c>
      <c r="E455" s="50"/>
      <c r="F455" s="50"/>
      <c r="G455" s="61">
        <f>SUMIF('05'!$A:$A,$B455,'05'!E:E)+SUMIF('07'!$A:$A,$B455,'07'!E:E)+SUMIF('08'!$A:$A,$B455,'08'!E:E)+SUMIF('09'!$A:$A,$B455,'09'!E:E)+SUMIF('10'!$A:$A,$B455,'10'!E:E)+SUMIF('11'!$A:$A,$B455,'11'!E:E)+SUMIF('12'!$A:$A,$B455,'12'!E:E)+SUMIF('13'!$A:$A,$B455,'13'!E:E)+SUMIF('15'!$A:$A,$B455,'15'!E:E)+SUMIF('17'!$A:$A,$B455,'17'!E:E)+SUMIF('20'!$A:$A,$B455,'20'!E:E)+SUMIF('30'!$A:$A,$B455,'30'!E:E)+SUMIF('35'!$A:$A,$B455,'35'!E:E)+SUMIF('40'!$A:$A,$B455,'40'!E:E)+SUMIF('45'!$A:$A,$B455,'45'!E:E)</f>
        <v>3213083.02</v>
      </c>
      <c r="H455" s="61">
        <f>SUMIF('05'!$A:$A,$B455,'05'!F:F)+SUMIF('07'!$A:$A,$B455,'07'!F:F)+SUMIF('08'!$A:$A,$B455,'08'!F:F)+SUMIF('09'!$A:$A,$B455,'09'!F:F)+SUMIF('10'!$A:$A,$B455,'10'!F:F)+SUMIF('11'!$A:$A,$B455,'11'!F:F)+SUMIF('12'!$A:$A,$B455,'12'!F:F)+SUMIF('13'!$A:$A,$B455,'13'!F:F)+SUMIF('15'!$A:$A,$B455,'15'!F:F)+SUMIF('17'!$A:$A,$B455,'17'!F:F)+SUMIF('20'!$A:$A,$B455,'20'!F:F)+SUMIF('30'!$A:$A,$B455,'30'!F:F)+SUMIF('35'!$A:$A,$B455,'35'!F:F)+SUMIF('40'!$A:$A,$B455,'40'!F:F)+SUMIF('45'!$A:$A,$B455,'45'!F:F)</f>
        <v>3811300</v>
      </c>
      <c r="I455" s="61">
        <f>SUMIF('05'!$A:$A,$B455,'05'!G:G)+SUMIF('07'!$A:$A,$B455,'07'!G:G)+SUMIF('08'!$A:$A,$B455,'08'!G:G)+SUMIF('09'!$A:$A,$B455,'09'!G:G)+SUMIF('10'!$A:$A,$B455,'10'!G:G)+SUMIF('11'!$A:$A,$B455,'11'!G:G)+SUMIF('12'!$A:$A,$B455,'12'!G:G)+SUMIF('13'!$A:$A,$B455,'13'!G:G)+SUMIF('15'!$A:$A,$B455,'15'!G:G)+SUMIF('17'!$A:$A,$B455,'17'!G:G)+SUMIF('20'!$A:$A,$B455,'20'!G:G)+SUMIF('30'!$A:$A,$B455,'30'!G:G)+SUMIF('35'!$A:$A,$B455,'35'!G:G)+SUMIF('40'!$A:$A,$B455,'40'!G:G)+SUMIF('45'!$A:$A,$B455,'45'!G:G)</f>
        <v>4705300</v>
      </c>
      <c r="J455" s="61">
        <f>SUMIF('05'!$A:$A,$B455,'05'!H:H)+SUMIF('07'!$A:$A,$B455,'07'!H:H)+SUMIF('08'!$A:$A,$B455,'08'!H:H)+SUMIF('09'!$A:$A,$B455,'09'!H:H)+SUMIF('10'!$A:$A,$B455,'10'!H:H)+SUMIF('11'!$A:$A,$B455,'11'!H:H)+SUMIF('12'!$A:$A,$B455,'12'!H:H)+SUMIF('13'!$A:$A,$B455,'13'!H:H)+SUMIF('15'!$A:$A,$B455,'15'!H:H)+SUMIF('17'!$A:$A,$B455,'17'!H:H)+SUMIF('20'!$A:$A,$B455,'20'!H:H)+SUMIF('30'!$A:$A,$B455,'30'!H:H)+SUMIF('35'!$A:$A,$B455,'35'!H:H)+SUMIF('40'!$A:$A,$B455,'40'!H:H)+SUMIF('45'!$A:$A,$B455,'45'!H:H)</f>
        <v>3881300</v>
      </c>
      <c r="K455" s="61">
        <f>SUMIF('05'!$A:$A,$B455,'05'!I:I)+SUMIF('07'!$A:$A,$B455,'07'!I:I)+SUMIF('08'!$A:$A,$B455,'08'!I:I)+SUMIF('09'!$A:$A,$B455,'09'!I:I)+SUMIF('10'!$A:$A,$B455,'10'!I:I)+SUMIF('11'!$A:$A,$B455,'11'!I:I)+SUMIF('12'!$A:$A,$B455,'12'!I:I)+SUMIF('13'!$A:$A,$B455,'13'!I:I)+SUMIF('15'!$A:$A,$B455,'15'!I:I)+SUMIF('17'!$A:$A,$B455,'17'!I:I)+SUMIF('20'!$A:$A,$B455,'20'!I:I)+SUMIF('30'!$A:$A,$B455,'30'!I:I)+SUMIF('35'!$A:$A,$B455,'35'!I:I)+SUMIF('40'!$A:$A,$B455,'40'!I:I)+SUMIF('45'!$A:$A,$B455,'45'!I:I)</f>
        <v>3881300</v>
      </c>
      <c r="L455" s="61">
        <f>SUMIF('05'!$A:$A,$B455,'05'!J:J)+SUMIF('07'!$A:$A,$B455,'07'!J:J)+SUMIF('08'!$A:$A,$B455,'08'!J:J)+SUMIF('09'!$A:$A,$B455,'09'!J:J)+SUMIF('10'!$A:$A,$B455,'10'!J:J)+SUMIF('11'!$A:$A,$B455,'11'!J:J)+SUMIF('12'!$A:$A,$B455,'12'!J:J)+SUMIF('13'!$A:$A,$B455,'13'!J:J)+SUMIF('15'!$A:$A,$B455,'15'!J:J)+SUMIF('17'!$A:$A,$B455,'17'!J:J)+SUMIF('20'!$A:$A,$B455,'20'!J:J)+SUMIF('30'!$A:$A,$B455,'30'!J:J)+SUMIF('35'!$A:$A,$B455,'35'!J:J)+SUMIF('40'!$A:$A,$B455,'40'!J:J)+SUMIF('45'!$A:$A,$B455,'45'!J:J)</f>
        <v>3881300</v>
      </c>
    </row>
    <row r="456" spans="2:12" x14ac:dyDescent="0.2">
      <c r="B456" s="37">
        <v>266</v>
      </c>
      <c r="C456" s="37"/>
      <c r="D456" s="50" t="s">
        <v>223</v>
      </c>
      <c r="E456" s="50"/>
      <c r="F456" s="50"/>
      <c r="G456" s="61">
        <f>SUMIF('05'!$A:$A,$B456,'05'!E:E)+SUMIF('07'!$A:$A,$B456,'07'!E:E)+SUMIF('08'!$A:$A,$B456,'08'!E:E)+SUMIF('09'!$A:$A,$B456,'09'!E:E)+SUMIF('10'!$A:$A,$B456,'10'!E:E)+SUMIF('11'!$A:$A,$B456,'11'!E:E)+SUMIF('12'!$A:$A,$B456,'12'!E:E)+SUMIF('13'!$A:$A,$B456,'13'!E:E)+SUMIF('15'!$A:$A,$B456,'15'!E:E)+SUMIF('17'!$A:$A,$B456,'17'!E:E)+SUMIF('20'!$A:$A,$B456,'20'!E:E)+SUMIF('30'!$A:$A,$B456,'30'!E:E)+SUMIF('35'!$A:$A,$B456,'35'!E:E)+SUMIF('40'!$A:$A,$B456,'40'!E:E)+SUMIF('45'!$A:$A,$B456,'45'!E:E)</f>
        <v>161414.62</v>
      </c>
      <c r="H456" s="61">
        <f>SUMIF('05'!$A:$A,$B456,'05'!F:F)+SUMIF('07'!$A:$A,$B456,'07'!F:F)+SUMIF('08'!$A:$A,$B456,'08'!F:F)+SUMIF('09'!$A:$A,$B456,'09'!F:F)+SUMIF('10'!$A:$A,$B456,'10'!F:F)+SUMIF('11'!$A:$A,$B456,'11'!F:F)+SUMIF('12'!$A:$A,$B456,'12'!F:F)+SUMIF('13'!$A:$A,$B456,'13'!F:F)+SUMIF('15'!$A:$A,$B456,'15'!F:F)+SUMIF('17'!$A:$A,$B456,'17'!F:F)+SUMIF('20'!$A:$A,$B456,'20'!F:F)+SUMIF('30'!$A:$A,$B456,'30'!F:F)+SUMIF('35'!$A:$A,$B456,'35'!F:F)+SUMIF('40'!$A:$A,$B456,'40'!F:F)+SUMIF('45'!$A:$A,$B456,'45'!F:F)</f>
        <v>204000</v>
      </c>
      <c r="I456" s="61">
        <f>SUMIF('05'!$A:$A,$B456,'05'!G:G)+SUMIF('07'!$A:$A,$B456,'07'!G:G)+SUMIF('08'!$A:$A,$B456,'08'!G:G)+SUMIF('09'!$A:$A,$B456,'09'!G:G)+SUMIF('10'!$A:$A,$B456,'10'!G:G)+SUMIF('11'!$A:$A,$B456,'11'!G:G)+SUMIF('12'!$A:$A,$B456,'12'!G:G)+SUMIF('13'!$A:$A,$B456,'13'!G:G)+SUMIF('15'!$A:$A,$B456,'15'!G:G)+SUMIF('17'!$A:$A,$B456,'17'!G:G)+SUMIF('20'!$A:$A,$B456,'20'!G:G)+SUMIF('30'!$A:$A,$B456,'30'!G:G)+SUMIF('35'!$A:$A,$B456,'35'!G:G)+SUMIF('40'!$A:$A,$B456,'40'!G:G)+SUMIF('45'!$A:$A,$B456,'45'!G:G)</f>
        <v>211200</v>
      </c>
      <c r="J456" s="61">
        <f>SUMIF('05'!$A:$A,$B456,'05'!H:H)+SUMIF('07'!$A:$A,$B456,'07'!H:H)+SUMIF('08'!$A:$A,$B456,'08'!H:H)+SUMIF('09'!$A:$A,$B456,'09'!H:H)+SUMIF('10'!$A:$A,$B456,'10'!H:H)+SUMIF('11'!$A:$A,$B456,'11'!H:H)+SUMIF('12'!$A:$A,$B456,'12'!H:H)+SUMIF('13'!$A:$A,$B456,'13'!H:H)+SUMIF('15'!$A:$A,$B456,'15'!H:H)+SUMIF('17'!$A:$A,$B456,'17'!H:H)+SUMIF('20'!$A:$A,$B456,'20'!H:H)+SUMIF('30'!$A:$A,$B456,'30'!H:H)+SUMIF('35'!$A:$A,$B456,'35'!H:H)+SUMIF('40'!$A:$A,$B456,'40'!H:H)+SUMIF('45'!$A:$A,$B456,'45'!H:H)</f>
        <v>180000</v>
      </c>
      <c r="K456" s="61">
        <f>SUMIF('05'!$A:$A,$B456,'05'!I:I)+SUMIF('07'!$A:$A,$B456,'07'!I:I)+SUMIF('08'!$A:$A,$B456,'08'!I:I)+SUMIF('09'!$A:$A,$B456,'09'!I:I)+SUMIF('10'!$A:$A,$B456,'10'!I:I)+SUMIF('11'!$A:$A,$B456,'11'!I:I)+SUMIF('12'!$A:$A,$B456,'12'!I:I)+SUMIF('13'!$A:$A,$B456,'13'!I:I)+SUMIF('15'!$A:$A,$B456,'15'!I:I)+SUMIF('17'!$A:$A,$B456,'17'!I:I)+SUMIF('20'!$A:$A,$B456,'20'!I:I)+SUMIF('30'!$A:$A,$B456,'30'!I:I)+SUMIF('35'!$A:$A,$B456,'35'!I:I)+SUMIF('40'!$A:$A,$B456,'40'!I:I)+SUMIF('45'!$A:$A,$B456,'45'!I:I)</f>
        <v>204000</v>
      </c>
      <c r="L456" s="61">
        <f>SUMIF('05'!$A:$A,$B456,'05'!J:J)+SUMIF('07'!$A:$A,$B456,'07'!J:J)+SUMIF('08'!$A:$A,$B456,'08'!J:J)+SUMIF('09'!$A:$A,$B456,'09'!J:J)+SUMIF('10'!$A:$A,$B456,'10'!J:J)+SUMIF('11'!$A:$A,$B456,'11'!J:J)+SUMIF('12'!$A:$A,$B456,'12'!J:J)+SUMIF('13'!$A:$A,$B456,'13'!J:J)+SUMIF('15'!$A:$A,$B456,'15'!J:J)+SUMIF('17'!$A:$A,$B456,'17'!J:J)+SUMIF('20'!$A:$A,$B456,'20'!J:J)+SUMIF('30'!$A:$A,$B456,'30'!J:J)+SUMIF('35'!$A:$A,$B456,'35'!J:J)+SUMIF('40'!$A:$A,$B456,'40'!J:J)+SUMIF('45'!$A:$A,$B456,'45'!J:J)</f>
        <v>204000</v>
      </c>
    </row>
    <row r="457" spans="2:12" x14ac:dyDescent="0.2">
      <c r="B457" s="37">
        <v>270</v>
      </c>
      <c r="C457" s="37"/>
      <c r="D457" s="50" t="s">
        <v>224</v>
      </c>
      <c r="E457" s="50"/>
      <c r="F457" s="50"/>
      <c r="G457" s="61">
        <f>SUMIF('05'!$A:$A,$B457,'05'!E:E)+SUMIF('07'!$A:$A,$B457,'07'!E:E)+SUMIF('08'!$A:$A,$B457,'08'!E:E)+SUMIF('09'!$A:$A,$B457,'09'!E:E)+SUMIF('10'!$A:$A,$B457,'10'!E:E)+SUMIF('11'!$A:$A,$B457,'11'!E:E)+SUMIF('12'!$A:$A,$B457,'12'!E:E)+SUMIF('13'!$A:$A,$B457,'13'!E:E)+SUMIF('15'!$A:$A,$B457,'15'!E:E)+SUMIF('17'!$A:$A,$B457,'17'!E:E)+SUMIF('20'!$A:$A,$B457,'20'!E:E)+SUMIF('30'!$A:$A,$B457,'30'!E:E)+SUMIF('35'!$A:$A,$B457,'35'!E:E)+SUMIF('40'!$A:$A,$B457,'40'!E:E)+SUMIF('45'!$A:$A,$B457,'45'!E:E)</f>
        <v>1458123.99</v>
      </c>
      <c r="H457" s="61">
        <f>SUMIF('05'!$A:$A,$B457,'05'!F:F)+SUMIF('07'!$A:$A,$B457,'07'!F:F)+SUMIF('08'!$A:$A,$B457,'08'!F:F)+SUMIF('09'!$A:$A,$B457,'09'!F:F)+SUMIF('10'!$A:$A,$B457,'10'!F:F)+SUMIF('11'!$A:$A,$B457,'11'!F:F)+SUMIF('12'!$A:$A,$B457,'12'!F:F)+SUMIF('13'!$A:$A,$B457,'13'!F:F)+SUMIF('15'!$A:$A,$B457,'15'!F:F)+SUMIF('17'!$A:$A,$B457,'17'!F:F)+SUMIF('20'!$A:$A,$B457,'20'!F:F)+SUMIF('30'!$A:$A,$B457,'30'!F:F)+SUMIF('35'!$A:$A,$B457,'35'!F:F)+SUMIF('40'!$A:$A,$B457,'40'!F:F)+SUMIF('45'!$A:$A,$B457,'45'!F:F)</f>
        <v>1505500</v>
      </c>
      <c r="I457" s="61">
        <f>SUMIF('05'!$A:$A,$B457,'05'!G:G)+SUMIF('07'!$A:$A,$B457,'07'!G:G)+SUMIF('08'!$A:$A,$B457,'08'!G:G)+SUMIF('09'!$A:$A,$B457,'09'!G:G)+SUMIF('10'!$A:$A,$B457,'10'!G:G)+SUMIF('11'!$A:$A,$B457,'11'!G:G)+SUMIF('12'!$A:$A,$B457,'12'!G:G)+SUMIF('13'!$A:$A,$B457,'13'!G:G)+SUMIF('15'!$A:$A,$B457,'15'!G:G)+SUMIF('17'!$A:$A,$B457,'17'!G:G)+SUMIF('20'!$A:$A,$B457,'20'!G:G)+SUMIF('30'!$A:$A,$B457,'30'!G:G)+SUMIF('35'!$A:$A,$B457,'35'!G:G)+SUMIF('40'!$A:$A,$B457,'40'!G:G)+SUMIF('45'!$A:$A,$B457,'45'!G:G)</f>
        <v>1504900</v>
      </c>
      <c r="J457" s="61">
        <f>SUMIF('05'!$A:$A,$B457,'05'!H:H)+SUMIF('07'!$A:$A,$B457,'07'!H:H)+SUMIF('08'!$A:$A,$B457,'08'!H:H)+SUMIF('09'!$A:$A,$B457,'09'!H:H)+SUMIF('10'!$A:$A,$B457,'10'!H:H)+SUMIF('11'!$A:$A,$B457,'11'!H:H)+SUMIF('12'!$A:$A,$B457,'12'!H:H)+SUMIF('13'!$A:$A,$B457,'13'!H:H)+SUMIF('15'!$A:$A,$B457,'15'!H:H)+SUMIF('17'!$A:$A,$B457,'17'!H:H)+SUMIF('20'!$A:$A,$B457,'20'!H:H)+SUMIF('30'!$A:$A,$B457,'30'!H:H)+SUMIF('35'!$A:$A,$B457,'35'!H:H)+SUMIF('40'!$A:$A,$B457,'40'!H:H)+SUMIF('45'!$A:$A,$B457,'45'!H:H)</f>
        <v>1505500</v>
      </c>
      <c r="K457" s="61">
        <f>SUMIF('05'!$A:$A,$B457,'05'!I:I)+SUMIF('07'!$A:$A,$B457,'07'!I:I)+SUMIF('08'!$A:$A,$B457,'08'!I:I)+SUMIF('09'!$A:$A,$B457,'09'!I:I)+SUMIF('10'!$A:$A,$B457,'10'!I:I)+SUMIF('11'!$A:$A,$B457,'11'!I:I)+SUMIF('12'!$A:$A,$B457,'12'!I:I)+SUMIF('13'!$A:$A,$B457,'13'!I:I)+SUMIF('15'!$A:$A,$B457,'15'!I:I)+SUMIF('17'!$A:$A,$B457,'17'!I:I)+SUMIF('20'!$A:$A,$B457,'20'!I:I)+SUMIF('30'!$A:$A,$B457,'30'!I:I)+SUMIF('35'!$A:$A,$B457,'35'!I:I)+SUMIF('40'!$A:$A,$B457,'40'!I:I)+SUMIF('45'!$A:$A,$B457,'45'!I:I)</f>
        <v>1505500</v>
      </c>
      <c r="L457" s="61">
        <f>SUMIF('05'!$A:$A,$B457,'05'!J:J)+SUMIF('07'!$A:$A,$B457,'07'!J:J)+SUMIF('08'!$A:$A,$B457,'08'!J:J)+SUMIF('09'!$A:$A,$B457,'09'!J:J)+SUMIF('10'!$A:$A,$B457,'10'!J:J)+SUMIF('11'!$A:$A,$B457,'11'!J:J)+SUMIF('12'!$A:$A,$B457,'12'!J:J)+SUMIF('13'!$A:$A,$B457,'13'!J:J)+SUMIF('15'!$A:$A,$B457,'15'!J:J)+SUMIF('17'!$A:$A,$B457,'17'!J:J)+SUMIF('20'!$A:$A,$B457,'20'!J:J)+SUMIF('30'!$A:$A,$B457,'30'!J:J)+SUMIF('35'!$A:$A,$B457,'35'!J:J)+SUMIF('40'!$A:$A,$B457,'40'!J:J)+SUMIF('45'!$A:$A,$B457,'45'!J:J)</f>
        <v>1505500</v>
      </c>
    </row>
    <row r="458" spans="2:12" x14ac:dyDescent="0.2">
      <c r="B458" s="37">
        <v>272</v>
      </c>
      <c r="C458" s="37"/>
      <c r="D458" s="50" t="s">
        <v>225</v>
      </c>
      <c r="E458" s="50"/>
      <c r="F458" s="50"/>
      <c r="G458" s="61">
        <f>SUMIF('05'!$A:$A,$B458,'05'!E:E)+SUMIF('07'!$A:$A,$B458,'07'!E:E)+SUMIF('08'!$A:$A,$B458,'08'!E:E)+SUMIF('09'!$A:$A,$B458,'09'!E:E)+SUMIF('10'!$A:$A,$B458,'10'!E:E)+SUMIF('11'!$A:$A,$B458,'11'!E:E)+SUMIF('12'!$A:$A,$B458,'12'!E:E)+SUMIF('13'!$A:$A,$B458,'13'!E:E)+SUMIF('15'!$A:$A,$B458,'15'!E:E)+SUMIF('17'!$A:$A,$B458,'17'!E:E)+SUMIF('20'!$A:$A,$B458,'20'!E:E)+SUMIF('30'!$A:$A,$B458,'30'!E:E)+SUMIF('35'!$A:$A,$B458,'35'!E:E)+SUMIF('40'!$A:$A,$B458,'40'!E:E)+SUMIF('45'!$A:$A,$B458,'45'!E:E)</f>
        <v>5505742.8799999999</v>
      </c>
      <c r="H458" s="61">
        <f>SUMIF('05'!$A:$A,$B458,'05'!F:F)+SUMIF('07'!$A:$A,$B458,'07'!F:F)+SUMIF('08'!$A:$A,$B458,'08'!F:F)+SUMIF('09'!$A:$A,$B458,'09'!F:F)+SUMIF('10'!$A:$A,$B458,'10'!F:F)+SUMIF('11'!$A:$A,$B458,'11'!F:F)+SUMIF('12'!$A:$A,$B458,'12'!F:F)+SUMIF('13'!$A:$A,$B458,'13'!F:F)+SUMIF('15'!$A:$A,$B458,'15'!F:F)+SUMIF('17'!$A:$A,$B458,'17'!F:F)+SUMIF('20'!$A:$A,$B458,'20'!F:F)+SUMIF('30'!$A:$A,$B458,'30'!F:F)+SUMIF('35'!$A:$A,$B458,'35'!F:F)+SUMIF('40'!$A:$A,$B458,'40'!F:F)+SUMIF('45'!$A:$A,$B458,'45'!F:F)</f>
        <v>260000</v>
      </c>
      <c r="I458" s="61">
        <f>SUMIF('05'!$A:$A,$B458,'05'!G:G)+SUMIF('07'!$A:$A,$B458,'07'!G:G)+SUMIF('08'!$A:$A,$B458,'08'!G:G)+SUMIF('09'!$A:$A,$B458,'09'!G:G)+SUMIF('10'!$A:$A,$B458,'10'!G:G)+SUMIF('11'!$A:$A,$B458,'11'!G:G)+SUMIF('12'!$A:$A,$B458,'12'!G:G)+SUMIF('13'!$A:$A,$B458,'13'!G:G)+SUMIF('15'!$A:$A,$B458,'15'!G:G)+SUMIF('17'!$A:$A,$B458,'17'!G:G)+SUMIF('20'!$A:$A,$B458,'20'!G:G)+SUMIF('30'!$A:$A,$B458,'30'!G:G)+SUMIF('35'!$A:$A,$B458,'35'!G:G)+SUMIF('40'!$A:$A,$B458,'40'!G:G)+SUMIF('45'!$A:$A,$B458,'45'!G:G)</f>
        <v>250100</v>
      </c>
      <c r="J458" s="61">
        <f>SUMIF('05'!$A:$A,$B458,'05'!H:H)+SUMIF('07'!$A:$A,$B458,'07'!H:H)+SUMIF('08'!$A:$A,$B458,'08'!H:H)+SUMIF('09'!$A:$A,$B458,'09'!H:H)+SUMIF('10'!$A:$A,$B458,'10'!H:H)+SUMIF('11'!$A:$A,$B458,'11'!H:H)+SUMIF('12'!$A:$A,$B458,'12'!H:H)+SUMIF('13'!$A:$A,$B458,'13'!H:H)+SUMIF('15'!$A:$A,$B458,'15'!H:H)+SUMIF('17'!$A:$A,$B458,'17'!H:H)+SUMIF('20'!$A:$A,$B458,'20'!H:H)+SUMIF('30'!$A:$A,$B458,'30'!H:H)+SUMIF('35'!$A:$A,$B458,'35'!H:H)+SUMIF('40'!$A:$A,$B458,'40'!H:H)+SUMIF('45'!$A:$A,$B458,'45'!H:H)</f>
        <v>395000</v>
      </c>
      <c r="K458" s="61">
        <f>SUMIF('05'!$A:$A,$B458,'05'!I:I)+SUMIF('07'!$A:$A,$B458,'07'!I:I)+SUMIF('08'!$A:$A,$B458,'08'!I:I)+SUMIF('09'!$A:$A,$B458,'09'!I:I)+SUMIF('10'!$A:$A,$B458,'10'!I:I)+SUMIF('11'!$A:$A,$B458,'11'!I:I)+SUMIF('12'!$A:$A,$B458,'12'!I:I)+SUMIF('13'!$A:$A,$B458,'13'!I:I)+SUMIF('15'!$A:$A,$B458,'15'!I:I)+SUMIF('17'!$A:$A,$B458,'17'!I:I)+SUMIF('20'!$A:$A,$B458,'20'!I:I)+SUMIF('30'!$A:$A,$B458,'30'!I:I)+SUMIF('35'!$A:$A,$B458,'35'!I:I)+SUMIF('40'!$A:$A,$B458,'40'!I:I)+SUMIF('45'!$A:$A,$B458,'45'!I:I)</f>
        <v>470000</v>
      </c>
      <c r="L458" s="61">
        <f>SUMIF('05'!$A:$A,$B458,'05'!J:J)+SUMIF('07'!$A:$A,$B458,'07'!J:J)+SUMIF('08'!$A:$A,$B458,'08'!J:J)+SUMIF('09'!$A:$A,$B458,'09'!J:J)+SUMIF('10'!$A:$A,$B458,'10'!J:J)+SUMIF('11'!$A:$A,$B458,'11'!J:J)+SUMIF('12'!$A:$A,$B458,'12'!J:J)+SUMIF('13'!$A:$A,$B458,'13'!J:J)+SUMIF('15'!$A:$A,$B458,'15'!J:J)+SUMIF('17'!$A:$A,$B458,'17'!J:J)+SUMIF('20'!$A:$A,$B458,'20'!J:J)+SUMIF('30'!$A:$A,$B458,'30'!J:J)+SUMIF('35'!$A:$A,$B458,'35'!J:J)+SUMIF('40'!$A:$A,$B458,'40'!J:J)+SUMIF('45'!$A:$A,$B458,'45'!J:J)</f>
        <v>470000</v>
      </c>
    </row>
    <row r="459" spans="2:12" x14ac:dyDescent="0.2">
      <c r="B459" s="37">
        <v>273</v>
      </c>
      <c r="C459" s="37"/>
      <c r="D459" s="50" t="s">
        <v>226</v>
      </c>
      <c r="E459" s="50"/>
      <c r="F459" s="50"/>
      <c r="G459" s="61">
        <f>SUMIF('05'!$A:$A,$B459,'05'!E:E)+SUMIF('07'!$A:$A,$B459,'07'!E:E)+SUMIF('08'!$A:$A,$B459,'08'!E:E)+SUMIF('09'!$A:$A,$B459,'09'!E:E)+SUMIF('10'!$A:$A,$B459,'10'!E:E)+SUMIF('11'!$A:$A,$B459,'11'!E:E)+SUMIF('12'!$A:$A,$B459,'12'!E:E)+SUMIF('13'!$A:$A,$B459,'13'!E:E)+SUMIF('15'!$A:$A,$B459,'15'!E:E)+SUMIF('17'!$A:$A,$B459,'17'!E:E)+SUMIF('20'!$A:$A,$B459,'20'!E:E)+SUMIF('30'!$A:$A,$B459,'30'!E:E)+SUMIF('35'!$A:$A,$B459,'35'!E:E)+SUMIF('40'!$A:$A,$B459,'40'!E:E)+SUMIF('45'!$A:$A,$B459,'45'!E:E)</f>
        <v>518306.37</v>
      </c>
      <c r="H459" s="61">
        <f>SUMIF('05'!$A:$A,$B459,'05'!F:F)+SUMIF('07'!$A:$A,$B459,'07'!F:F)+SUMIF('08'!$A:$A,$B459,'08'!F:F)+SUMIF('09'!$A:$A,$B459,'09'!F:F)+SUMIF('10'!$A:$A,$B459,'10'!F:F)+SUMIF('11'!$A:$A,$B459,'11'!F:F)+SUMIF('12'!$A:$A,$B459,'12'!F:F)+SUMIF('13'!$A:$A,$B459,'13'!F:F)+SUMIF('15'!$A:$A,$B459,'15'!F:F)+SUMIF('17'!$A:$A,$B459,'17'!F:F)+SUMIF('20'!$A:$A,$B459,'20'!F:F)+SUMIF('30'!$A:$A,$B459,'30'!F:F)+SUMIF('35'!$A:$A,$B459,'35'!F:F)+SUMIF('40'!$A:$A,$B459,'40'!F:F)+SUMIF('45'!$A:$A,$B459,'45'!F:F)</f>
        <v>521000</v>
      </c>
      <c r="I459" s="61">
        <f>SUMIF('05'!$A:$A,$B459,'05'!G:G)+SUMIF('07'!$A:$A,$B459,'07'!G:G)+SUMIF('08'!$A:$A,$B459,'08'!G:G)+SUMIF('09'!$A:$A,$B459,'09'!G:G)+SUMIF('10'!$A:$A,$B459,'10'!G:G)+SUMIF('11'!$A:$A,$B459,'11'!G:G)+SUMIF('12'!$A:$A,$B459,'12'!G:G)+SUMIF('13'!$A:$A,$B459,'13'!G:G)+SUMIF('15'!$A:$A,$B459,'15'!G:G)+SUMIF('17'!$A:$A,$B459,'17'!G:G)+SUMIF('20'!$A:$A,$B459,'20'!G:G)+SUMIF('30'!$A:$A,$B459,'30'!G:G)+SUMIF('35'!$A:$A,$B459,'35'!G:G)+SUMIF('40'!$A:$A,$B459,'40'!G:G)+SUMIF('45'!$A:$A,$B459,'45'!G:G)</f>
        <v>453000</v>
      </c>
      <c r="J459" s="61">
        <f>SUMIF('05'!$A:$A,$B459,'05'!H:H)+SUMIF('07'!$A:$A,$B459,'07'!H:H)+SUMIF('08'!$A:$A,$B459,'08'!H:H)+SUMIF('09'!$A:$A,$B459,'09'!H:H)+SUMIF('10'!$A:$A,$B459,'10'!H:H)+SUMIF('11'!$A:$A,$B459,'11'!H:H)+SUMIF('12'!$A:$A,$B459,'12'!H:H)+SUMIF('13'!$A:$A,$B459,'13'!H:H)+SUMIF('15'!$A:$A,$B459,'15'!H:H)+SUMIF('17'!$A:$A,$B459,'17'!H:H)+SUMIF('20'!$A:$A,$B459,'20'!H:H)+SUMIF('30'!$A:$A,$B459,'30'!H:H)+SUMIF('35'!$A:$A,$B459,'35'!H:H)+SUMIF('40'!$A:$A,$B459,'40'!H:H)+SUMIF('45'!$A:$A,$B459,'45'!H:H)</f>
        <v>516000</v>
      </c>
      <c r="K459" s="61">
        <f>SUMIF('05'!$A:$A,$B459,'05'!I:I)+SUMIF('07'!$A:$A,$B459,'07'!I:I)+SUMIF('08'!$A:$A,$B459,'08'!I:I)+SUMIF('09'!$A:$A,$B459,'09'!I:I)+SUMIF('10'!$A:$A,$B459,'10'!I:I)+SUMIF('11'!$A:$A,$B459,'11'!I:I)+SUMIF('12'!$A:$A,$B459,'12'!I:I)+SUMIF('13'!$A:$A,$B459,'13'!I:I)+SUMIF('15'!$A:$A,$B459,'15'!I:I)+SUMIF('17'!$A:$A,$B459,'17'!I:I)+SUMIF('20'!$A:$A,$B459,'20'!I:I)+SUMIF('30'!$A:$A,$B459,'30'!I:I)+SUMIF('35'!$A:$A,$B459,'35'!I:I)+SUMIF('40'!$A:$A,$B459,'40'!I:I)+SUMIF('45'!$A:$A,$B459,'45'!I:I)</f>
        <v>516000</v>
      </c>
      <c r="L459" s="61">
        <f>SUMIF('05'!$A:$A,$B459,'05'!J:J)+SUMIF('07'!$A:$A,$B459,'07'!J:J)+SUMIF('08'!$A:$A,$B459,'08'!J:J)+SUMIF('09'!$A:$A,$B459,'09'!J:J)+SUMIF('10'!$A:$A,$B459,'10'!J:J)+SUMIF('11'!$A:$A,$B459,'11'!J:J)+SUMIF('12'!$A:$A,$B459,'12'!J:J)+SUMIF('13'!$A:$A,$B459,'13'!J:J)+SUMIF('15'!$A:$A,$B459,'15'!J:J)+SUMIF('17'!$A:$A,$B459,'17'!J:J)+SUMIF('20'!$A:$A,$B459,'20'!J:J)+SUMIF('30'!$A:$A,$B459,'30'!J:J)+SUMIF('35'!$A:$A,$B459,'35'!J:J)+SUMIF('40'!$A:$A,$B459,'40'!J:J)+SUMIF('45'!$A:$A,$B459,'45'!J:J)</f>
        <v>516000</v>
      </c>
    </row>
    <row r="460" spans="2:12" x14ac:dyDescent="0.2">
      <c r="B460" s="37">
        <v>274</v>
      </c>
      <c r="C460" s="37"/>
      <c r="D460" s="50" t="s">
        <v>227</v>
      </c>
      <c r="E460" s="50"/>
      <c r="F460" s="50"/>
      <c r="G460" s="61">
        <f>SUMIF('05'!$A:$A,$B460,'05'!E:E)+SUMIF('07'!$A:$A,$B460,'07'!E:E)+SUMIF('08'!$A:$A,$B460,'08'!E:E)+SUMIF('09'!$A:$A,$B460,'09'!E:E)+SUMIF('10'!$A:$A,$B460,'10'!E:E)+SUMIF('11'!$A:$A,$B460,'11'!E:E)+SUMIF('12'!$A:$A,$B460,'12'!E:E)+SUMIF('13'!$A:$A,$B460,'13'!E:E)+SUMIF('15'!$A:$A,$B460,'15'!E:E)+SUMIF('17'!$A:$A,$B460,'17'!E:E)+SUMIF('20'!$A:$A,$B460,'20'!E:E)+SUMIF('30'!$A:$A,$B460,'30'!E:E)+SUMIF('35'!$A:$A,$B460,'35'!E:E)+SUMIF('40'!$A:$A,$B460,'40'!E:E)+SUMIF('45'!$A:$A,$B460,'45'!E:E)</f>
        <v>1132492.0399999998</v>
      </c>
      <c r="H460" s="61">
        <f>SUMIF('05'!$A:$A,$B460,'05'!F:F)+SUMIF('07'!$A:$A,$B460,'07'!F:F)+SUMIF('08'!$A:$A,$B460,'08'!F:F)+SUMIF('09'!$A:$A,$B460,'09'!F:F)+SUMIF('10'!$A:$A,$B460,'10'!F:F)+SUMIF('11'!$A:$A,$B460,'11'!F:F)+SUMIF('12'!$A:$A,$B460,'12'!F:F)+SUMIF('13'!$A:$A,$B460,'13'!F:F)+SUMIF('15'!$A:$A,$B460,'15'!F:F)+SUMIF('17'!$A:$A,$B460,'17'!F:F)+SUMIF('20'!$A:$A,$B460,'20'!F:F)+SUMIF('30'!$A:$A,$B460,'30'!F:F)+SUMIF('35'!$A:$A,$B460,'35'!F:F)+SUMIF('40'!$A:$A,$B460,'40'!F:F)+SUMIF('45'!$A:$A,$B460,'45'!F:F)</f>
        <v>2550000</v>
      </c>
      <c r="I460" s="61">
        <f>SUMIF('05'!$A:$A,$B460,'05'!G:G)+SUMIF('07'!$A:$A,$B460,'07'!G:G)+SUMIF('08'!$A:$A,$B460,'08'!G:G)+SUMIF('09'!$A:$A,$B460,'09'!G:G)+SUMIF('10'!$A:$A,$B460,'10'!G:G)+SUMIF('11'!$A:$A,$B460,'11'!G:G)+SUMIF('12'!$A:$A,$B460,'12'!G:G)+SUMIF('13'!$A:$A,$B460,'13'!G:G)+SUMIF('15'!$A:$A,$B460,'15'!G:G)+SUMIF('17'!$A:$A,$B460,'17'!G:G)+SUMIF('20'!$A:$A,$B460,'20'!G:G)+SUMIF('30'!$A:$A,$B460,'30'!G:G)+SUMIF('35'!$A:$A,$B460,'35'!G:G)+SUMIF('40'!$A:$A,$B460,'40'!G:G)+SUMIF('45'!$A:$A,$B460,'45'!G:G)</f>
        <v>510700</v>
      </c>
      <c r="J460" s="61">
        <f>SUMIF('05'!$A:$A,$B460,'05'!H:H)+SUMIF('07'!$A:$A,$B460,'07'!H:H)+SUMIF('08'!$A:$A,$B460,'08'!H:H)+SUMIF('09'!$A:$A,$B460,'09'!H:H)+SUMIF('10'!$A:$A,$B460,'10'!H:H)+SUMIF('11'!$A:$A,$B460,'11'!H:H)+SUMIF('12'!$A:$A,$B460,'12'!H:H)+SUMIF('13'!$A:$A,$B460,'13'!H:H)+SUMIF('15'!$A:$A,$B460,'15'!H:H)+SUMIF('17'!$A:$A,$B460,'17'!H:H)+SUMIF('20'!$A:$A,$B460,'20'!H:H)+SUMIF('30'!$A:$A,$B460,'30'!H:H)+SUMIF('35'!$A:$A,$B460,'35'!H:H)+SUMIF('40'!$A:$A,$B460,'40'!H:H)+SUMIF('45'!$A:$A,$B460,'45'!H:H)</f>
        <v>200000</v>
      </c>
      <c r="K460" s="61">
        <f>SUMIF('05'!$A:$A,$B460,'05'!I:I)+SUMIF('07'!$A:$A,$B460,'07'!I:I)+SUMIF('08'!$A:$A,$B460,'08'!I:I)+SUMIF('09'!$A:$A,$B460,'09'!I:I)+SUMIF('10'!$A:$A,$B460,'10'!I:I)+SUMIF('11'!$A:$A,$B460,'11'!I:I)+SUMIF('12'!$A:$A,$B460,'12'!I:I)+SUMIF('13'!$A:$A,$B460,'13'!I:I)+SUMIF('15'!$A:$A,$B460,'15'!I:I)+SUMIF('17'!$A:$A,$B460,'17'!I:I)+SUMIF('20'!$A:$A,$B460,'20'!I:I)+SUMIF('30'!$A:$A,$B460,'30'!I:I)+SUMIF('35'!$A:$A,$B460,'35'!I:I)+SUMIF('40'!$A:$A,$B460,'40'!I:I)+SUMIF('45'!$A:$A,$B460,'45'!I:I)</f>
        <v>200000</v>
      </c>
      <c r="L460" s="61">
        <f>SUMIF('05'!$A:$A,$B460,'05'!J:J)+SUMIF('07'!$A:$A,$B460,'07'!J:J)+SUMIF('08'!$A:$A,$B460,'08'!J:J)+SUMIF('09'!$A:$A,$B460,'09'!J:J)+SUMIF('10'!$A:$A,$B460,'10'!J:J)+SUMIF('11'!$A:$A,$B460,'11'!J:J)+SUMIF('12'!$A:$A,$B460,'12'!J:J)+SUMIF('13'!$A:$A,$B460,'13'!J:J)+SUMIF('15'!$A:$A,$B460,'15'!J:J)+SUMIF('17'!$A:$A,$B460,'17'!J:J)+SUMIF('20'!$A:$A,$B460,'20'!J:J)+SUMIF('30'!$A:$A,$B460,'30'!J:J)+SUMIF('35'!$A:$A,$B460,'35'!J:J)+SUMIF('40'!$A:$A,$B460,'40'!J:J)+SUMIF('45'!$A:$A,$B460,'45'!J:J)</f>
        <v>200000</v>
      </c>
    </row>
    <row r="461" spans="2:12" x14ac:dyDescent="0.2">
      <c r="B461" s="37">
        <v>275</v>
      </c>
      <c r="C461" s="37"/>
      <c r="D461" s="50" t="s">
        <v>228</v>
      </c>
      <c r="E461" s="50"/>
      <c r="F461" s="50"/>
      <c r="G461" s="61">
        <f>SUMIF('05'!$A:$A,$B461,'05'!E:E)+SUMIF('07'!$A:$A,$B461,'07'!E:E)+SUMIF('08'!$A:$A,$B461,'08'!E:E)+SUMIF('09'!$A:$A,$B461,'09'!E:E)+SUMIF('10'!$A:$A,$B461,'10'!E:E)+SUMIF('11'!$A:$A,$B461,'11'!E:E)+SUMIF('12'!$A:$A,$B461,'12'!E:E)+SUMIF('13'!$A:$A,$B461,'13'!E:E)+SUMIF('15'!$A:$A,$B461,'15'!E:E)+SUMIF('17'!$A:$A,$B461,'17'!E:E)+SUMIF('20'!$A:$A,$B461,'20'!E:E)+SUMIF('30'!$A:$A,$B461,'30'!E:E)+SUMIF('35'!$A:$A,$B461,'35'!E:E)+SUMIF('40'!$A:$A,$B461,'40'!E:E)+SUMIF('45'!$A:$A,$B461,'45'!E:E)</f>
        <v>297337.18</v>
      </c>
      <c r="H461" s="61">
        <f>SUMIF('05'!$A:$A,$B461,'05'!F:F)+SUMIF('07'!$A:$A,$B461,'07'!F:F)+SUMIF('08'!$A:$A,$B461,'08'!F:F)+SUMIF('09'!$A:$A,$B461,'09'!F:F)+SUMIF('10'!$A:$A,$B461,'10'!F:F)+SUMIF('11'!$A:$A,$B461,'11'!F:F)+SUMIF('12'!$A:$A,$B461,'12'!F:F)+SUMIF('13'!$A:$A,$B461,'13'!F:F)+SUMIF('15'!$A:$A,$B461,'15'!F:F)+SUMIF('17'!$A:$A,$B461,'17'!F:F)+SUMIF('20'!$A:$A,$B461,'20'!F:F)+SUMIF('30'!$A:$A,$B461,'30'!F:F)+SUMIF('35'!$A:$A,$B461,'35'!F:F)+SUMIF('40'!$A:$A,$B461,'40'!F:F)+SUMIF('45'!$A:$A,$B461,'45'!F:F)</f>
        <v>522300</v>
      </c>
      <c r="I461" s="61">
        <f>SUMIF('05'!$A:$A,$B461,'05'!G:G)+SUMIF('07'!$A:$A,$B461,'07'!G:G)+SUMIF('08'!$A:$A,$B461,'08'!G:G)+SUMIF('09'!$A:$A,$B461,'09'!G:G)+SUMIF('10'!$A:$A,$B461,'10'!G:G)+SUMIF('11'!$A:$A,$B461,'11'!G:G)+SUMIF('12'!$A:$A,$B461,'12'!G:G)+SUMIF('13'!$A:$A,$B461,'13'!G:G)+SUMIF('15'!$A:$A,$B461,'15'!G:G)+SUMIF('17'!$A:$A,$B461,'17'!G:G)+SUMIF('20'!$A:$A,$B461,'20'!G:G)+SUMIF('30'!$A:$A,$B461,'30'!G:G)+SUMIF('35'!$A:$A,$B461,'35'!G:G)+SUMIF('40'!$A:$A,$B461,'40'!G:G)+SUMIF('45'!$A:$A,$B461,'45'!G:G)</f>
        <v>405400</v>
      </c>
      <c r="J461" s="61">
        <f>SUMIF('05'!$A:$A,$B461,'05'!H:H)+SUMIF('07'!$A:$A,$B461,'07'!H:H)+SUMIF('08'!$A:$A,$B461,'08'!H:H)+SUMIF('09'!$A:$A,$B461,'09'!H:H)+SUMIF('10'!$A:$A,$B461,'10'!H:H)+SUMIF('11'!$A:$A,$B461,'11'!H:H)+SUMIF('12'!$A:$A,$B461,'12'!H:H)+SUMIF('13'!$A:$A,$B461,'13'!H:H)+SUMIF('15'!$A:$A,$B461,'15'!H:H)+SUMIF('17'!$A:$A,$B461,'17'!H:H)+SUMIF('20'!$A:$A,$B461,'20'!H:H)+SUMIF('30'!$A:$A,$B461,'30'!H:H)+SUMIF('35'!$A:$A,$B461,'35'!H:H)+SUMIF('40'!$A:$A,$B461,'40'!H:H)+SUMIF('45'!$A:$A,$B461,'45'!H:H)</f>
        <v>593700</v>
      </c>
      <c r="K461" s="61">
        <f>SUMIF('05'!$A:$A,$B461,'05'!I:I)+SUMIF('07'!$A:$A,$B461,'07'!I:I)+SUMIF('08'!$A:$A,$B461,'08'!I:I)+SUMIF('09'!$A:$A,$B461,'09'!I:I)+SUMIF('10'!$A:$A,$B461,'10'!I:I)+SUMIF('11'!$A:$A,$B461,'11'!I:I)+SUMIF('12'!$A:$A,$B461,'12'!I:I)+SUMIF('13'!$A:$A,$B461,'13'!I:I)+SUMIF('15'!$A:$A,$B461,'15'!I:I)+SUMIF('17'!$A:$A,$B461,'17'!I:I)+SUMIF('20'!$A:$A,$B461,'20'!I:I)+SUMIF('30'!$A:$A,$B461,'30'!I:I)+SUMIF('35'!$A:$A,$B461,'35'!I:I)+SUMIF('40'!$A:$A,$B461,'40'!I:I)+SUMIF('45'!$A:$A,$B461,'45'!I:I)</f>
        <v>593700</v>
      </c>
      <c r="L461" s="61">
        <f>SUMIF('05'!$A:$A,$B461,'05'!J:J)+SUMIF('07'!$A:$A,$B461,'07'!J:J)+SUMIF('08'!$A:$A,$B461,'08'!J:J)+SUMIF('09'!$A:$A,$B461,'09'!J:J)+SUMIF('10'!$A:$A,$B461,'10'!J:J)+SUMIF('11'!$A:$A,$B461,'11'!J:J)+SUMIF('12'!$A:$A,$B461,'12'!J:J)+SUMIF('13'!$A:$A,$B461,'13'!J:J)+SUMIF('15'!$A:$A,$B461,'15'!J:J)+SUMIF('17'!$A:$A,$B461,'17'!J:J)+SUMIF('20'!$A:$A,$B461,'20'!J:J)+SUMIF('30'!$A:$A,$B461,'30'!J:J)+SUMIF('35'!$A:$A,$B461,'35'!J:J)+SUMIF('40'!$A:$A,$B461,'40'!J:J)+SUMIF('45'!$A:$A,$B461,'45'!J:J)</f>
        <v>593700</v>
      </c>
    </row>
    <row r="462" spans="2:12" x14ac:dyDescent="0.2">
      <c r="B462" s="37">
        <v>276</v>
      </c>
      <c r="C462" s="37"/>
      <c r="D462" s="50" t="s">
        <v>229</v>
      </c>
      <c r="E462" s="50"/>
      <c r="F462" s="50"/>
      <c r="G462" s="61">
        <f>SUMIF('05'!$A:$A,$B462,'05'!E:E)+SUMIF('07'!$A:$A,$B462,'07'!E:E)+SUMIF('08'!$A:$A,$B462,'08'!E:E)+SUMIF('09'!$A:$A,$B462,'09'!E:E)+SUMIF('10'!$A:$A,$B462,'10'!E:E)+SUMIF('11'!$A:$A,$B462,'11'!E:E)+SUMIF('12'!$A:$A,$B462,'12'!E:E)+SUMIF('13'!$A:$A,$B462,'13'!E:E)+SUMIF('15'!$A:$A,$B462,'15'!E:E)+SUMIF('17'!$A:$A,$B462,'17'!E:E)+SUMIF('20'!$A:$A,$B462,'20'!E:E)+SUMIF('30'!$A:$A,$B462,'30'!E:E)+SUMIF('35'!$A:$A,$B462,'35'!E:E)+SUMIF('40'!$A:$A,$B462,'40'!E:E)+SUMIF('45'!$A:$A,$B462,'45'!E:E)</f>
        <v>9924.67</v>
      </c>
      <c r="H462" s="61">
        <f>SUMIF('05'!$A:$A,$B462,'05'!F:F)+SUMIF('07'!$A:$A,$B462,'07'!F:F)+SUMIF('08'!$A:$A,$B462,'08'!F:F)+SUMIF('09'!$A:$A,$B462,'09'!F:F)+SUMIF('10'!$A:$A,$B462,'10'!F:F)+SUMIF('11'!$A:$A,$B462,'11'!F:F)+SUMIF('12'!$A:$A,$B462,'12'!F:F)+SUMIF('13'!$A:$A,$B462,'13'!F:F)+SUMIF('15'!$A:$A,$B462,'15'!F:F)+SUMIF('17'!$A:$A,$B462,'17'!F:F)+SUMIF('20'!$A:$A,$B462,'20'!F:F)+SUMIF('30'!$A:$A,$B462,'30'!F:F)+SUMIF('35'!$A:$A,$B462,'35'!F:F)+SUMIF('40'!$A:$A,$B462,'40'!F:F)+SUMIF('45'!$A:$A,$B462,'45'!F:F)</f>
        <v>10000</v>
      </c>
      <c r="I462" s="61">
        <f>SUMIF('05'!$A:$A,$B462,'05'!G:G)+SUMIF('07'!$A:$A,$B462,'07'!G:G)+SUMIF('08'!$A:$A,$B462,'08'!G:G)+SUMIF('09'!$A:$A,$B462,'09'!G:G)+SUMIF('10'!$A:$A,$B462,'10'!G:G)+SUMIF('11'!$A:$A,$B462,'11'!G:G)+SUMIF('12'!$A:$A,$B462,'12'!G:G)+SUMIF('13'!$A:$A,$B462,'13'!G:G)+SUMIF('15'!$A:$A,$B462,'15'!G:G)+SUMIF('17'!$A:$A,$B462,'17'!G:G)+SUMIF('20'!$A:$A,$B462,'20'!G:G)+SUMIF('30'!$A:$A,$B462,'30'!G:G)+SUMIF('35'!$A:$A,$B462,'35'!G:G)+SUMIF('40'!$A:$A,$B462,'40'!G:G)+SUMIF('45'!$A:$A,$B462,'45'!G:G)</f>
        <v>25000</v>
      </c>
      <c r="J462" s="61">
        <f>SUMIF('05'!$A:$A,$B462,'05'!H:H)+SUMIF('07'!$A:$A,$B462,'07'!H:H)+SUMIF('08'!$A:$A,$B462,'08'!H:H)+SUMIF('09'!$A:$A,$B462,'09'!H:H)+SUMIF('10'!$A:$A,$B462,'10'!H:H)+SUMIF('11'!$A:$A,$B462,'11'!H:H)+SUMIF('12'!$A:$A,$B462,'12'!H:H)+SUMIF('13'!$A:$A,$B462,'13'!H:H)+SUMIF('15'!$A:$A,$B462,'15'!H:H)+SUMIF('17'!$A:$A,$B462,'17'!H:H)+SUMIF('20'!$A:$A,$B462,'20'!H:H)+SUMIF('30'!$A:$A,$B462,'30'!H:H)+SUMIF('35'!$A:$A,$B462,'35'!H:H)+SUMIF('40'!$A:$A,$B462,'40'!H:H)+SUMIF('45'!$A:$A,$B462,'45'!H:H)</f>
        <v>10000</v>
      </c>
      <c r="K462" s="61">
        <f>SUMIF('05'!$A:$A,$B462,'05'!I:I)+SUMIF('07'!$A:$A,$B462,'07'!I:I)+SUMIF('08'!$A:$A,$B462,'08'!I:I)+SUMIF('09'!$A:$A,$B462,'09'!I:I)+SUMIF('10'!$A:$A,$B462,'10'!I:I)+SUMIF('11'!$A:$A,$B462,'11'!I:I)+SUMIF('12'!$A:$A,$B462,'12'!I:I)+SUMIF('13'!$A:$A,$B462,'13'!I:I)+SUMIF('15'!$A:$A,$B462,'15'!I:I)+SUMIF('17'!$A:$A,$B462,'17'!I:I)+SUMIF('20'!$A:$A,$B462,'20'!I:I)+SUMIF('30'!$A:$A,$B462,'30'!I:I)+SUMIF('35'!$A:$A,$B462,'35'!I:I)+SUMIF('40'!$A:$A,$B462,'40'!I:I)+SUMIF('45'!$A:$A,$B462,'45'!I:I)</f>
        <v>10000</v>
      </c>
      <c r="L462" s="61">
        <f>SUMIF('05'!$A:$A,$B462,'05'!J:J)+SUMIF('07'!$A:$A,$B462,'07'!J:J)+SUMIF('08'!$A:$A,$B462,'08'!J:J)+SUMIF('09'!$A:$A,$B462,'09'!J:J)+SUMIF('10'!$A:$A,$B462,'10'!J:J)+SUMIF('11'!$A:$A,$B462,'11'!J:J)+SUMIF('12'!$A:$A,$B462,'12'!J:J)+SUMIF('13'!$A:$A,$B462,'13'!J:J)+SUMIF('15'!$A:$A,$B462,'15'!J:J)+SUMIF('17'!$A:$A,$B462,'17'!J:J)+SUMIF('20'!$A:$A,$B462,'20'!J:J)+SUMIF('30'!$A:$A,$B462,'30'!J:J)+SUMIF('35'!$A:$A,$B462,'35'!J:J)+SUMIF('40'!$A:$A,$B462,'40'!J:J)+SUMIF('45'!$A:$A,$B462,'45'!J:J)</f>
        <v>10000</v>
      </c>
    </row>
    <row r="463" spans="2:12" x14ac:dyDescent="0.2">
      <c r="B463" s="37">
        <v>277</v>
      </c>
      <c r="C463" s="37"/>
      <c r="D463" s="50" t="s">
        <v>230</v>
      </c>
      <c r="E463" s="50"/>
      <c r="F463" s="50"/>
      <c r="G463" s="61">
        <f>SUMIF('05'!$A:$A,$B463,'05'!E:E)+SUMIF('07'!$A:$A,$B463,'07'!E:E)+SUMIF('08'!$A:$A,$B463,'08'!E:E)+SUMIF('09'!$A:$A,$B463,'09'!E:E)+SUMIF('10'!$A:$A,$B463,'10'!E:E)+SUMIF('11'!$A:$A,$B463,'11'!E:E)+SUMIF('12'!$A:$A,$B463,'12'!E:E)+SUMIF('13'!$A:$A,$B463,'13'!E:E)+SUMIF('15'!$A:$A,$B463,'15'!E:E)+SUMIF('17'!$A:$A,$B463,'17'!E:E)+SUMIF('20'!$A:$A,$B463,'20'!E:E)+SUMIF('30'!$A:$A,$B463,'30'!E:E)+SUMIF('35'!$A:$A,$B463,'35'!E:E)+SUMIF('40'!$A:$A,$B463,'40'!E:E)+SUMIF('45'!$A:$A,$B463,'45'!E:E)</f>
        <v>0</v>
      </c>
      <c r="H463" s="61">
        <f>SUMIF('05'!$A:$A,$B463,'05'!F:F)+SUMIF('07'!$A:$A,$B463,'07'!F:F)+SUMIF('08'!$A:$A,$B463,'08'!F:F)+SUMIF('09'!$A:$A,$B463,'09'!F:F)+SUMIF('10'!$A:$A,$B463,'10'!F:F)+SUMIF('11'!$A:$A,$B463,'11'!F:F)+SUMIF('12'!$A:$A,$B463,'12'!F:F)+SUMIF('13'!$A:$A,$B463,'13'!F:F)+SUMIF('15'!$A:$A,$B463,'15'!F:F)+SUMIF('17'!$A:$A,$B463,'17'!F:F)+SUMIF('20'!$A:$A,$B463,'20'!F:F)+SUMIF('30'!$A:$A,$B463,'30'!F:F)+SUMIF('35'!$A:$A,$B463,'35'!F:F)+SUMIF('40'!$A:$A,$B463,'40'!F:F)+SUMIF('45'!$A:$A,$B463,'45'!F:F)</f>
        <v>0</v>
      </c>
      <c r="I463" s="61">
        <f>SUMIF('05'!$A:$A,$B463,'05'!G:G)+SUMIF('07'!$A:$A,$B463,'07'!G:G)+SUMIF('08'!$A:$A,$B463,'08'!G:G)+SUMIF('09'!$A:$A,$B463,'09'!G:G)+SUMIF('10'!$A:$A,$B463,'10'!G:G)+SUMIF('11'!$A:$A,$B463,'11'!G:G)+SUMIF('12'!$A:$A,$B463,'12'!G:G)+SUMIF('13'!$A:$A,$B463,'13'!G:G)+SUMIF('15'!$A:$A,$B463,'15'!G:G)+SUMIF('17'!$A:$A,$B463,'17'!G:G)+SUMIF('20'!$A:$A,$B463,'20'!G:G)+SUMIF('30'!$A:$A,$B463,'30'!G:G)+SUMIF('35'!$A:$A,$B463,'35'!G:G)+SUMIF('40'!$A:$A,$B463,'40'!G:G)+SUMIF('45'!$A:$A,$B463,'45'!G:G)</f>
        <v>0</v>
      </c>
      <c r="J463" s="61">
        <f>SUMIF('05'!$A:$A,$B463,'05'!H:H)+SUMIF('07'!$A:$A,$B463,'07'!H:H)+SUMIF('08'!$A:$A,$B463,'08'!H:H)+SUMIF('09'!$A:$A,$B463,'09'!H:H)+SUMIF('10'!$A:$A,$B463,'10'!H:H)+SUMIF('11'!$A:$A,$B463,'11'!H:H)+SUMIF('12'!$A:$A,$B463,'12'!H:H)+SUMIF('13'!$A:$A,$B463,'13'!H:H)+SUMIF('15'!$A:$A,$B463,'15'!H:H)+SUMIF('17'!$A:$A,$B463,'17'!H:H)+SUMIF('20'!$A:$A,$B463,'20'!H:H)+SUMIF('30'!$A:$A,$B463,'30'!H:H)+SUMIF('35'!$A:$A,$B463,'35'!H:H)+SUMIF('40'!$A:$A,$B463,'40'!H:H)+SUMIF('45'!$A:$A,$B463,'45'!H:H)</f>
        <v>0</v>
      </c>
      <c r="K463" s="61">
        <f>SUMIF('05'!$A:$A,$B463,'05'!I:I)+SUMIF('07'!$A:$A,$B463,'07'!I:I)+SUMIF('08'!$A:$A,$B463,'08'!I:I)+SUMIF('09'!$A:$A,$B463,'09'!I:I)+SUMIF('10'!$A:$A,$B463,'10'!I:I)+SUMIF('11'!$A:$A,$B463,'11'!I:I)+SUMIF('12'!$A:$A,$B463,'12'!I:I)+SUMIF('13'!$A:$A,$B463,'13'!I:I)+SUMIF('15'!$A:$A,$B463,'15'!I:I)+SUMIF('17'!$A:$A,$B463,'17'!I:I)+SUMIF('20'!$A:$A,$B463,'20'!I:I)+SUMIF('30'!$A:$A,$B463,'30'!I:I)+SUMIF('35'!$A:$A,$B463,'35'!I:I)+SUMIF('40'!$A:$A,$B463,'40'!I:I)+SUMIF('45'!$A:$A,$B463,'45'!I:I)</f>
        <v>0</v>
      </c>
      <c r="L463" s="61">
        <f>SUMIF('05'!$A:$A,$B463,'05'!J:J)+SUMIF('07'!$A:$A,$B463,'07'!J:J)+SUMIF('08'!$A:$A,$B463,'08'!J:J)+SUMIF('09'!$A:$A,$B463,'09'!J:J)+SUMIF('10'!$A:$A,$B463,'10'!J:J)+SUMIF('11'!$A:$A,$B463,'11'!J:J)+SUMIF('12'!$A:$A,$B463,'12'!J:J)+SUMIF('13'!$A:$A,$B463,'13'!J:J)+SUMIF('15'!$A:$A,$B463,'15'!J:J)+SUMIF('17'!$A:$A,$B463,'17'!J:J)+SUMIF('20'!$A:$A,$B463,'20'!J:J)+SUMIF('30'!$A:$A,$B463,'30'!J:J)+SUMIF('35'!$A:$A,$B463,'35'!J:J)+SUMIF('40'!$A:$A,$B463,'40'!J:J)+SUMIF('45'!$A:$A,$B463,'45'!J:J)</f>
        <v>0</v>
      </c>
    </row>
    <row r="464" spans="2:12" x14ac:dyDescent="0.2">
      <c r="B464" s="37">
        <v>278</v>
      </c>
      <c r="C464" s="37"/>
      <c r="D464" s="50" t="s">
        <v>231</v>
      </c>
      <c r="E464" s="50"/>
      <c r="F464" s="50"/>
      <c r="G464" s="61">
        <f>SUMIF('05'!$A:$A,$B464,'05'!E:E)+SUMIF('07'!$A:$A,$B464,'07'!E:E)+SUMIF('08'!$A:$A,$B464,'08'!E:E)+SUMIF('09'!$A:$A,$B464,'09'!E:E)+SUMIF('10'!$A:$A,$B464,'10'!E:E)+SUMIF('11'!$A:$A,$B464,'11'!E:E)+SUMIF('12'!$A:$A,$B464,'12'!E:E)+SUMIF('13'!$A:$A,$B464,'13'!E:E)+SUMIF('15'!$A:$A,$B464,'15'!E:E)+SUMIF('17'!$A:$A,$B464,'17'!E:E)+SUMIF('20'!$A:$A,$B464,'20'!E:E)+SUMIF('30'!$A:$A,$B464,'30'!E:E)+SUMIF('35'!$A:$A,$B464,'35'!E:E)+SUMIF('40'!$A:$A,$B464,'40'!E:E)+SUMIF('45'!$A:$A,$B464,'45'!E:E)</f>
        <v>0</v>
      </c>
      <c r="H464" s="61">
        <f>SUMIF('05'!$A:$A,$B464,'05'!F:F)+SUMIF('07'!$A:$A,$B464,'07'!F:F)+SUMIF('08'!$A:$A,$B464,'08'!F:F)+SUMIF('09'!$A:$A,$B464,'09'!F:F)+SUMIF('10'!$A:$A,$B464,'10'!F:F)+SUMIF('11'!$A:$A,$B464,'11'!F:F)+SUMIF('12'!$A:$A,$B464,'12'!F:F)+SUMIF('13'!$A:$A,$B464,'13'!F:F)+SUMIF('15'!$A:$A,$B464,'15'!F:F)+SUMIF('17'!$A:$A,$B464,'17'!F:F)+SUMIF('20'!$A:$A,$B464,'20'!F:F)+SUMIF('30'!$A:$A,$B464,'30'!F:F)+SUMIF('35'!$A:$A,$B464,'35'!F:F)+SUMIF('40'!$A:$A,$B464,'40'!F:F)+SUMIF('45'!$A:$A,$B464,'45'!F:F)</f>
        <v>0</v>
      </c>
      <c r="I464" s="61">
        <f>SUMIF('05'!$A:$A,$B464,'05'!G:G)+SUMIF('07'!$A:$A,$B464,'07'!G:G)+SUMIF('08'!$A:$A,$B464,'08'!G:G)+SUMIF('09'!$A:$A,$B464,'09'!G:G)+SUMIF('10'!$A:$A,$B464,'10'!G:G)+SUMIF('11'!$A:$A,$B464,'11'!G:G)+SUMIF('12'!$A:$A,$B464,'12'!G:G)+SUMIF('13'!$A:$A,$B464,'13'!G:G)+SUMIF('15'!$A:$A,$B464,'15'!G:G)+SUMIF('17'!$A:$A,$B464,'17'!G:G)+SUMIF('20'!$A:$A,$B464,'20'!G:G)+SUMIF('30'!$A:$A,$B464,'30'!G:G)+SUMIF('35'!$A:$A,$B464,'35'!G:G)+SUMIF('40'!$A:$A,$B464,'40'!G:G)+SUMIF('45'!$A:$A,$B464,'45'!G:G)</f>
        <v>0</v>
      </c>
      <c r="J464" s="61">
        <f>SUMIF('05'!$A:$A,$B464,'05'!H:H)+SUMIF('07'!$A:$A,$B464,'07'!H:H)+SUMIF('08'!$A:$A,$B464,'08'!H:H)+SUMIF('09'!$A:$A,$B464,'09'!H:H)+SUMIF('10'!$A:$A,$B464,'10'!H:H)+SUMIF('11'!$A:$A,$B464,'11'!H:H)+SUMIF('12'!$A:$A,$B464,'12'!H:H)+SUMIF('13'!$A:$A,$B464,'13'!H:H)+SUMIF('15'!$A:$A,$B464,'15'!H:H)+SUMIF('17'!$A:$A,$B464,'17'!H:H)+SUMIF('20'!$A:$A,$B464,'20'!H:H)+SUMIF('30'!$A:$A,$B464,'30'!H:H)+SUMIF('35'!$A:$A,$B464,'35'!H:H)+SUMIF('40'!$A:$A,$B464,'40'!H:H)+SUMIF('45'!$A:$A,$B464,'45'!H:H)</f>
        <v>0</v>
      </c>
      <c r="K464" s="61">
        <f>SUMIF('05'!$A:$A,$B464,'05'!I:I)+SUMIF('07'!$A:$A,$B464,'07'!I:I)+SUMIF('08'!$A:$A,$B464,'08'!I:I)+SUMIF('09'!$A:$A,$B464,'09'!I:I)+SUMIF('10'!$A:$A,$B464,'10'!I:I)+SUMIF('11'!$A:$A,$B464,'11'!I:I)+SUMIF('12'!$A:$A,$B464,'12'!I:I)+SUMIF('13'!$A:$A,$B464,'13'!I:I)+SUMIF('15'!$A:$A,$B464,'15'!I:I)+SUMIF('17'!$A:$A,$B464,'17'!I:I)+SUMIF('20'!$A:$A,$B464,'20'!I:I)+SUMIF('30'!$A:$A,$B464,'30'!I:I)+SUMIF('35'!$A:$A,$B464,'35'!I:I)+SUMIF('40'!$A:$A,$B464,'40'!I:I)+SUMIF('45'!$A:$A,$B464,'45'!I:I)</f>
        <v>0</v>
      </c>
      <c r="L464" s="61">
        <f>SUMIF('05'!$A:$A,$B464,'05'!J:J)+SUMIF('07'!$A:$A,$B464,'07'!J:J)+SUMIF('08'!$A:$A,$B464,'08'!J:J)+SUMIF('09'!$A:$A,$B464,'09'!J:J)+SUMIF('10'!$A:$A,$B464,'10'!J:J)+SUMIF('11'!$A:$A,$B464,'11'!J:J)+SUMIF('12'!$A:$A,$B464,'12'!J:J)+SUMIF('13'!$A:$A,$B464,'13'!J:J)+SUMIF('15'!$A:$A,$B464,'15'!J:J)+SUMIF('17'!$A:$A,$B464,'17'!J:J)+SUMIF('20'!$A:$A,$B464,'20'!J:J)+SUMIF('30'!$A:$A,$B464,'30'!J:J)+SUMIF('35'!$A:$A,$B464,'35'!J:J)+SUMIF('40'!$A:$A,$B464,'40'!J:J)+SUMIF('45'!$A:$A,$B464,'45'!J:J)</f>
        <v>0</v>
      </c>
    </row>
    <row r="465" spans="2:12" x14ac:dyDescent="0.2">
      <c r="B465" s="37">
        <v>279</v>
      </c>
      <c r="C465" s="37"/>
      <c r="D465" s="50" t="s">
        <v>232</v>
      </c>
      <c r="E465" s="50"/>
      <c r="F465" s="50"/>
      <c r="G465" s="61">
        <f>SUMIF('05'!$A:$A,$B465,'05'!E:E)+SUMIF('07'!$A:$A,$B465,'07'!E:E)+SUMIF('08'!$A:$A,$B465,'08'!E:E)+SUMIF('09'!$A:$A,$B465,'09'!E:E)+SUMIF('10'!$A:$A,$B465,'10'!E:E)+SUMIF('11'!$A:$A,$B465,'11'!E:E)+SUMIF('12'!$A:$A,$B465,'12'!E:E)+SUMIF('13'!$A:$A,$B465,'13'!E:E)+SUMIF('15'!$A:$A,$B465,'15'!E:E)+SUMIF('17'!$A:$A,$B465,'17'!E:E)+SUMIF('20'!$A:$A,$B465,'20'!E:E)+SUMIF('30'!$A:$A,$B465,'30'!E:E)+SUMIF('35'!$A:$A,$B465,'35'!E:E)+SUMIF('40'!$A:$A,$B465,'40'!E:E)+SUMIF('45'!$A:$A,$B465,'45'!E:E)</f>
        <v>0</v>
      </c>
      <c r="H465" s="61">
        <f>SUMIF('05'!$A:$A,$B465,'05'!F:F)+SUMIF('07'!$A:$A,$B465,'07'!F:F)+SUMIF('08'!$A:$A,$B465,'08'!F:F)+SUMIF('09'!$A:$A,$B465,'09'!F:F)+SUMIF('10'!$A:$A,$B465,'10'!F:F)+SUMIF('11'!$A:$A,$B465,'11'!F:F)+SUMIF('12'!$A:$A,$B465,'12'!F:F)+SUMIF('13'!$A:$A,$B465,'13'!F:F)+SUMIF('15'!$A:$A,$B465,'15'!F:F)+SUMIF('17'!$A:$A,$B465,'17'!F:F)+SUMIF('20'!$A:$A,$B465,'20'!F:F)+SUMIF('30'!$A:$A,$B465,'30'!F:F)+SUMIF('35'!$A:$A,$B465,'35'!F:F)+SUMIF('40'!$A:$A,$B465,'40'!F:F)+SUMIF('45'!$A:$A,$B465,'45'!F:F)</f>
        <v>0</v>
      </c>
      <c r="I465" s="61">
        <f>SUMIF('05'!$A:$A,$B465,'05'!G:G)+SUMIF('07'!$A:$A,$B465,'07'!G:G)+SUMIF('08'!$A:$A,$B465,'08'!G:G)+SUMIF('09'!$A:$A,$B465,'09'!G:G)+SUMIF('10'!$A:$A,$B465,'10'!G:G)+SUMIF('11'!$A:$A,$B465,'11'!G:G)+SUMIF('12'!$A:$A,$B465,'12'!G:G)+SUMIF('13'!$A:$A,$B465,'13'!G:G)+SUMIF('15'!$A:$A,$B465,'15'!G:G)+SUMIF('17'!$A:$A,$B465,'17'!G:G)+SUMIF('20'!$A:$A,$B465,'20'!G:G)+SUMIF('30'!$A:$A,$B465,'30'!G:G)+SUMIF('35'!$A:$A,$B465,'35'!G:G)+SUMIF('40'!$A:$A,$B465,'40'!G:G)+SUMIF('45'!$A:$A,$B465,'45'!G:G)</f>
        <v>0</v>
      </c>
      <c r="J465" s="61">
        <f>SUMIF('05'!$A:$A,$B465,'05'!H:H)+SUMIF('07'!$A:$A,$B465,'07'!H:H)+SUMIF('08'!$A:$A,$B465,'08'!H:H)+SUMIF('09'!$A:$A,$B465,'09'!H:H)+SUMIF('10'!$A:$A,$B465,'10'!H:H)+SUMIF('11'!$A:$A,$B465,'11'!H:H)+SUMIF('12'!$A:$A,$B465,'12'!H:H)+SUMIF('13'!$A:$A,$B465,'13'!H:H)+SUMIF('15'!$A:$A,$B465,'15'!H:H)+SUMIF('17'!$A:$A,$B465,'17'!H:H)+SUMIF('20'!$A:$A,$B465,'20'!H:H)+SUMIF('30'!$A:$A,$B465,'30'!H:H)+SUMIF('35'!$A:$A,$B465,'35'!H:H)+SUMIF('40'!$A:$A,$B465,'40'!H:H)+SUMIF('45'!$A:$A,$B465,'45'!H:H)</f>
        <v>0</v>
      </c>
      <c r="K465" s="61">
        <f>SUMIF('05'!$A:$A,$B465,'05'!I:I)+SUMIF('07'!$A:$A,$B465,'07'!I:I)+SUMIF('08'!$A:$A,$B465,'08'!I:I)+SUMIF('09'!$A:$A,$B465,'09'!I:I)+SUMIF('10'!$A:$A,$B465,'10'!I:I)+SUMIF('11'!$A:$A,$B465,'11'!I:I)+SUMIF('12'!$A:$A,$B465,'12'!I:I)+SUMIF('13'!$A:$A,$B465,'13'!I:I)+SUMIF('15'!$A:$A,$B465,'15'!I:I)+SUMIF('17'!$A:$A,$B465,'17'!I:I)+SUMIF('20'!$A:$A,$B465,'20'!I:I)+SUMIF('30'!$A:$A,$B465,'30'!I:I)+SUMIF('35'!$A:$A,$B465,'35'!I:I)+SUMIF('40'!$A:$A,$B465,'40'!I:I)+SUMIF('45'!$A:$A,$B465,'45'!I:I)</f>
        <v>0</v>
      </c>
      <c r="L465" s="61">
        <f>SUMIF('05'!$A:$A,$B465,'05'!J:J)+SUMIF('07'!$A:$A,$B465,'07'!J:J)+SUMIF('08'!$A:$A,$B465,'08'!J:J)+SUMIF('09'!$A:$A,$B465,'09'!J:J)+SUMIF('10'!$A:$A,$B465,'10'!J:J)+SUMIF('11'!$A:$A,$B465,'11'!J:J)+SUMIF('12'!$A:$A,$B465,'12'!J:J)+SUMIF('13'!$A:$A,$B465,'13'!J:J)+SUMIF('15'!$A:$A,$B465,'15'!J:J)+SUMIF('17'!$A:$A,$B465,'17'!J:J)+SUMIF('20'!$A:$A,$B465,'20'!J:J)+SUMIF('30'!$A:$A,$B465,'30'!J:J)+SUMIF('35'!$A:$A,$B465,'35'!J:J)+SUMIF('40'!$A:$A,$B465,'40'!J:J)+SUMIF('45'!$A:$A,$B465,'45'!J:J)</f>
        <v>0</v>
      </c>
    </row>
    <row r="466" spans="2:12" x14ac:dyDescent="0.2">
      <c r="B466" s="37">
        <v>280</v>
      </c>
      <c r="C466" s="37"/>
      <c r="D466" s="50" t="s">
        <v>233</v>
      </c>
      <c r="E466" s="50"/>
      <c r="F466" s="50"/>
      <c r="G466" s="61">
        <f>SUMIF('05'!$A:$A,$B466,'05'!E:E)+SUMIF('07'!$A:$A,$B466,'07'!E:E)+SUMIF('08'!$A:$A,$B466,'08'!E:E)+SUMIF('09'!$A:$A,$B466,'09'!E:E)+SUMIF('10'!$A:$A,$B466,'10'!E:E)+SUMIF('11'!$A:$A,$B466,'11'!E:E)+SUMIF('12'!$A:$A,$B466,'12'!E:E)+SUMIF('13'!$A:$A,$B466,'13'!E:E)+SUMIF('15'!$A:$A,$B466,'15'!E:E)+SUMIF('17'!$A:$A,$B466,'17'!E:E)+SUMIF('20'!$A:$A,$B466,'20'!E:E)+SUMIF('30'!$A:$A,$B466,'30'!E:E)+SUMIF('35'!$A:$A,$B466,'35'!E:E)+SUMIF('40'!$A:$A,$B466,'40'!E:E)+SUMIF('45'!$A:$A,$B466,'45'!E:E)</f>
        <v>93014.53</v>
      </c>
      <c r="H466" s="61">
        <f>SUMIF('05'!$A:$A,$B466,'05'!F:F)+SUMIF('07'!$A:$A,$B466,'07'!F:F)+SUMIF('08'!$A:$A,$B466,'08'!F:F)+SUMIF('09'!$A:$A,$B466,'09'!F:F)+SUMIF('10'!$A:$A,$B466,'10'!F:F)+SUMIF('11'!$A:$A,$B466,'11'!F:F)+SUMIF('12'!$A:$A,$B466,'12'!F:F)+SUMIF('13'!$A:$A,$B466,'13'!F:F)+SUMIF('15'!$A:$A,$B466,'15'!F:F)+SUMIF('17'!$A:$A,$B466,'17'!F:F)+SUMIF('20'!$A:$A,$B466,'20'!F:F)+SUMIF('30'!$A:$A,$B466,'30'!F:F)+SUMIF('35'!$A:$A,$B466,'35'!F:F)+SUMIF('40'!$A:$A,$B466,'40'!F:F)+SUMIF('45'!$A:$A,$B466,'45'!F:F)</f>
        <v>173400</v>
      </c>
      <c r="I466" s="61">
        <f>SUMIF('05'!$A:$A,$B466,'05'!G:G)+SUMIF('07'!$A:$A,$B466,'07'!G:G)+SUMIF('08'!$A:$A,$B466,'08'!G:G)+SUMIF('09'!$A:$A,$B466,'09'!G:G)+SUMIF('10'!$A:$A,$B466,'10'!G:G)+SUMIF('11'!$A:$A,$B466,'11'!G:G)+SUMIF('12'!$A:$A,$B466,'12'!G:G)+SUMIF('13'!$A:$A,$B466,'13'!G:G)+SUMIF('15'!$A:$A,$B466,'15'!G:G)+SUMIF('17'!$A:$A,$B466,'17'!G:G)+SUMIF('20'!$A:$A,$B466,'20'!G:G)+SUMIF('30'!$A:$A,$B466,'30'!G:G)+SUMIF('35'!$A:$A,$B466,'35'!G:G)+SUMIF('40'!$A:$A,$B466,'40'!G:G)+SUMIF('45'!$A:$A,$B466,'45'!G:G)</f>
        <v>147100</v>
      </c>
      <c r="J466" s="61">
        <f>SUMIF('05'!$A:$A,$B466,'05'!H:H)+SUMIF('07'!$A:$A,$B466,'07'!H:H)+SUMIF('08'!$A:$A,$B466,'08'!H:H)+SUMIF('09'!$A:$A,$B466,'09'!H:H)+SUMIF('10'!$A:$A,$B466,'10'!H:H)+SUMIF('11'!$A:$A,$B466,'11'!H:H)+SUMIF('12'!$A:$A,$B466,'12'!H:H)+SUMIF('13'!$A:$A,$B466,'13'!H:H)+SUMIF('15'!$A:$A,$B466,'15'!H:H)+SUMIF('17'!$A:$A,$B466,'17'!H:H)+SUMIF('20'!$A:$A,$B466,'20'!H:H)+SUMIF('30'!$A:$A,$B466,'30'!H:H)+SUMIF('35'!$A:$A,$B466,'35'!H:H)+SUMIF('40'!$A:$A,$B466,'40'!H:H)+SUMIF('45'!$A:$A,$B466,'45'!H:H)</f>
        <v>141900</v>
      </c>
      <c r="K466" s="61">
        <f>SUMIF('05'!$A:$A,$B466,'05'!I:I)+SUMIF('07'!$A:$A,$B466,'07'!I:I)+SUMIF('08'!$A:$A,$B466,'08'!I:I)+SUMIF('09'!$A:$A,$B466,'09'!I:I)+SUMIF('10'!$A:$A,$B466,'10'!I:I)+SUMIF('11'!$A:$A,$B466,'11'!I:I)+SUMIF('12'!$A:$A,$B466,'12'!I:I)+SUMIF('13'!$A:$A,$B466,'13'!I:I)+SUMIF('15'!$A:$A,$B466,'15'!I:I)+SUMIF('17'!$A:$A,$B466,'17'!I:I)+SUMIF('20'!$A:$A,$B466,'20'!I:I)+SUMIF('30'!$A:$A,$B466,'30'!I:I)+SUMIF('35'!$A:$A,$B466,'35'!I:I)+SUMIF('40'!$A:$A,$B466,'40'!I:I)+SUMIF('45'!$A:$A,$B466,'45'!I:I)</f>
        <v>141900</v>
      </c>
      <c r="L466" s="61">
        <f>SUMIF('05'!$A:$A,$B466,'05'!J:J)+SUMIF('07'!$A:$A,$B466,'07'!J:J)+SUMIF('08'!$A:$A,$B466,'08'!J:J)+SUMIF('09'!$A:$A,$B466,'09'!J:J)+SUMIF('10'!$A:$A,$B466,'10'!J:J)+SUMIF('11'!$A:$A,$B466,'11'!J:J)+SUMIF('12'!$A:$A,$B466,'12'!J:J)+SUMIF('13'!$A:$A,$B466,'13'!J:J)+SUMIF('15'!$A:$A,$B466,'15'!J:J)+SUMIF('17'!$A:$A,$B466,'17'!J:J)+SUMIF('20'!$A:$A,$B466,'20'!J:J)+SUMIF('30'!$A:$A,$B466,'30'!J:J)+SUMIF('35'!$A:$A,$B466,'35'!J:J)+SUMIF('40'!$A:$A,$B466,'40'!J:J)+SUMIF('45'!$A:$A,$B466,'45'!J:J)</f>
        <v>141900</v>
      </c>
    </row>
    <row r="467" spans="2:12" x14ac:dyDescent="0.2">
      <c r="B467" s="37">
        <v>281</v>
      </c>
      <c r="C467" s="37"/>
      <c r="D467" s="50" t="s">
        <v>234</v>
      </c>
      <c r="E467" s="50"/>
      <c r="F467" s="50"/>
      <c r="G467" s="61">
        <f>SUMIF('05'!$A:$A,$B467,'05'!E:E)+SUMIF('07'!$A:$A,$B467,'07'!E:E)+SUMIF('08'!$A:$A,$B467,'08'!E:E)+SUMIF('09'!$A:$A,$B467,'09'!E:E)+SUMIF('10'!$A:$A,$B467,'10'!E:E)+SUMIF('11'!$A:$A,$B467,'11'!E:E)+SUMIF('12'!$A:$A,$B467,'12'!E:E)+SUMIF('13'!$A:$A,$B467,'13'!E:E)+SUMIF('15'!$A:$A,$B467,'15'!E:E)+SUMIF('17'!$A:$A,$B467,'17'!E:E)+SUMIF('20'!$A:$A,$B467,'20'!E:E)+SUMIF('30'!$A:$A,$B467,'30'!E:E)+SUMIF('35'!$A:$A,$B467,'35'!E:E)+SUMIF('40'!$A:$A,$B467,'40'!E:E)+SUMIF('45'!$A:$A,$B467,'45'!E:E)</f>
        <v>142555.35999999999</v>
      </c>
      <c r="H467" s="61">
        <f>SUMIF('05'!$A:$A,$B467,'05'!F:F)+SUMIF('07'!$A:$A,$B467,'07'!F:F)+SUMIF('08'!$A:$A,$B467,'08'!F:F)+SUMIF('09'!$A:$A,$B467,'09'!F:F)+SUMIF('10'!$A:$A,$B467,'10'!F:F)+SUMIF('11'!$A:$A,$B467,'11'!F:F)+SUMIF('12'!$A:$A,$B467,'12'!F:F)+SUMIF('13'!$A:$A,$B467,'13'!F:F)+SUMIF('15'!$A:$A,$B467,'15'!F:F)+SUMIF('17'!$A:$A,$B467,'17'!F:F)+SUMIF('20'!$A:$A,$B467,'20'!F:F)+SUMIF('30'!$A:$A,$B467,'30'!F:F)+SUMIF('35'!$A:$A,$B467,'35'!F:F)+SUMIF('40'!$A:$A,$B467,'40'!F:F)+SUMIF('45'!$A:$A,$B467,'45'!F:F)</f>
        <v>144000</v>
      </c>
      <c r="I467" s="61">
        <f>SUMIF('05'!$A:$A,$B467,'05'!G:G)+SUMIF('07'!$A:$A,$B467,'07'!G:G)+SUMIF('08'!$A:$A,$B467,'08'!G:G)+SUMIF('09'!$A:$A,$B467,'09'!G:G)+SUMIF('10'!$A:$A,$B467,'10'!G:G)+SUMIF('11'!$A:$A,$B467,'11'!G:G)+SUMIF('12'!$A:$A,$B467,'12'!G:G)+SUMIF('13'!$A:$A,$B467,'13'!G:G)+SUMIF('15'!$A:$A,$B467,'15'!G:G)+SUMIF('17'!$A:$A,$B467,'17'!G:G)+SUMIF('20'!$A:$A,$B467,'20'!G:G)+SUMIF('30'!$A:$A,$B467,'30'!G:G)+SUMIF('35'!$A:$A,$B467,'35'!G:G)+SUMIF('40'!$A:$A,$B467,'40'!G:G)+SUMIF('45'!$A:$A,$B467,'45'!G:G)</f>
        <v>141000</v>
      </c>
      <c r="J467" s="61">
        <f>SUMIF('05'!$A:$A,$B467,'05'!H:H)+SUMIF('07'!$A:$A,$B467,'07'!H:H)+SUMIF('08'!$A:$A,$B467,'08'!H:H)+SUMIF('09'!$A:$A,$B467,'09'!H:H)+SUMIF('10'!$A:$A,$B467,'10'!H:H)+SUMIF('11'!$A:$A,$B467,'11'!H:H)+SUMIF('12'!$A:$A,$B467,'12'!H:H)+SUMIF('13'!$A:$A,$B467,'13'!H:H)+SUMIF('15'!$A:$A,$B467,'15'!H:H)+SUMIF('17'!$A:$A,$B467,'17'!H:H)+SUMIF('20'!$A:$A,$B467,'20'!H:H)+SUMIF('30'!$A:$A,$B467,'30'!H:H)+SUMIF('35'!$A:$A,$B467,'35'!H:H)+SUMIF('40'!$A:$A,$B467,'40'!H:H)+SUMIF('45'!$A:$A,$B467,'45'!H:H)</f>
        <v>139000</v>
      </c>
      <c r="K467" s="61">
        <f>SUMIF('05'!$A:$A,$B467,'05'!I:I)+SUMIF('07'!$A:$A,$B467,'07'!I:I)+SUMIF('08'!$A:$A,$B467,'08'!I:I)+SUMIF('09'!$A:$A,$B467,'09'!I:I)+SUMIF('10'!$A:$A,$B467,'10'!I:I)+SUMIF('11'!$A:$A,$B467,'11'!I:I)+SUMIF('12'!$A:$A,$B467,'12'!I:I)+SUMIF('13'!$A:$A,$B467,'13'!I:I)+SUMIF('15'!$A:$A,$B467,'15'!I:I)+SUMIF('17'!$A:$A,$B467,'17'!I:I)+SUMIF('20'!$A:$A,$B467,'20'!I:I)+SUMIF('30'!$A:$A,$B467,'30'!I:I)+SUMIF('35'!$A:$A,$B467,'35'!I:I)+SUMIF('40'!$A:$A,$B467,'40'!I:I)+SUMIF('45'!$A:$A,$B467,'45'!I:I)</f>
        <v>139000</v>
      </c>
      <c r="L467" s="61">
        <f>SUMIF('05'!$A:$A,$B467,'05'!J:J)+SUMIF('07'!$A:$A,$B467,'07'!J:J)+SUMIF('08'!$A:$A,$B467,'08'!J:J)+SUMIF('09'!$A:$A,$B467,'09'!J:J)+SUMIF('10'!$A:$A,$B467,'10'!J:J)+SUMIF('11'!$A:$A,$B467,'11'!J:J)+SUMIF('12'!$A:$A,$B467,'12'!J:J)+SUMIF('13'!$A:$A,$B467,'13'!J:J)+SUMIF('15'!$A:$A,$B467,'15'!J:J)+SUMIF('17'!$A:$A,$B467,'17'!J:J)+SUMIF('20'!$A:$A,$B467,'20'!J:J)+SUMIF('30'!$A:$A,$B467,'30'!J:J)+SUMIF('35'!$A:$A,$B467,'35'!J:J)+SUMIF('40'!$A:$A,$B467,'40'!J:J)+SUMIF('45'!$A:$A,$B467,'45'!J:J)</f>
        <v>139000</v>
      </c>
    </row>
    <row r="468" spans="2:12" x14ac:dyDescent="0.2">
      <c r="B468" s="37">
        <v>282</v>
      </c>
      <c r="C468" s="37"/>
      <c r="D468" s="50" t="s">
        <v>235</v>
      </c>
      <c r="E468" s="50"/>
      <c r="F468" s="50"/>
      <c r="G468" s="61">
        <f>SUMIF('05'!$A:$A,$B468,'05'!E:E)+SUMIF('07'!$A:$A,$B468,'07'!E:E)+SUMIF('08'!$A:$A,$B468,'08'!E:E)+SUMIF('09'!$A:$A,$B468,'09'!E:E)+SUMIF('10'!$A:$A,$B468,'10'!E:E)+SUMIF('11'!$A:$A,$B468,'11'!E:E)+SUMIF('12'!$A:$A,$B468,'12'!E:E)+SUMIF('13'!$A:$A,$B468,'13'!E:E)+SUMIF('15'!$A:$A,$B468,'15'!E:E)+SUMIF('17'!$A:$A,$B468,'17'!E:E)+SUMIF('20'!$A:$A,$B468,'20'!E:E)+SUMIF('30'!$A:$A,$B468,'30'!E:E)+SUMIF('35'!$A:$A,$B468,'35'!E:E)+SUMIF('40'!$A:$A,$B468,'40'!E:E)+SUMIF('45'!$A:$A,$B468,'45'!E:E)</f>
        <v>104995.69</v>
      </c>
      <c r="H468" s="61">
        <f>SUMIF('05'!$A:$A,$B468,'05'!F:F)+SUMIF('07'!$A:$A,$B468,'07'!F:F)+SUMIF('08'!$A:$A,$B468,'08'!F:F)+SUMIF('09'!$A:$A,$B468,'09'!F:F)+SUMIF('10'!$A:$A,$B468,'10'!F:F)+SUMIF('11'!$A:$A,$B468,'11'!F:F)+SUMIF('12'!$A:$A,$B468,'12'!F:F)+SUMIF('13'!$A:$A,$B468,'13'!F:F)+SUMIF('15'!$A:$A,$B468,'15'!F:F)+SUMIF('17'!$A:$A,$B468,'17'!F:F)+SUMIF('20'!$A:$A,$B468,'20'!F:F)+SUMIF('30'!$A:$A,$B468,'30'!F:F)+SUMIF('35'!$A:$A,$B468,'35'!F:F)+SUMIF('40'!$A:$A,$B468,'40'!F:F)+SUMIF('45'!$A:$A,$B468,'45'!F:F)</f>
        <v>75000</v>
      </c>
      <c r="I468" s="61">
        <f>SUMIF('05'!$A:$A,$B468,'05'!G:G)+SUMIF('07'!$A:$A,$B468,'07'!G:G)+SUMIF('08'!$A:$A,$B468,'08'!G:G)+SUMIF('09'!$A:$A,$B468,'09'!G:G)+SUMIF('10'!$A:$A,$B468,'10'!G:G)+SUMIF('11'!$A:$A,$B468,'11'!G:G)+SUMIF('12'!$A:$A,$B468,'12'!G:G)+SUMIF('13'!$A:$A,$B468,'13'!G:G)+SUMIF('15'!$A:$A,$B468,'15'!G:G)+SUMIF('17'!$A:$A,$B468,'17'!G:G)+SUMIF('20'!$A:$A,$B468,'20'!G:G)+SUMIF('30'!$A:$A,$B468,'30'!G:G)+SUMIF('35'!$A:$A,$B468,'35'!G:G)+SUMIF('40'!$A:$A,$B468,'40'!G:G)+SUMIF('45'!$A:$A,$B468,'45'!G:G)</f>
        <v>125000</v>
      </c>
      <c r="J468" s="61">
        <f>SUMIF('05'!$A:$A,$B468,'05'!H:H)+SUMIF('07'!$A:$A,$B468,'07'!H:H)+SUMIF('08'!$A:$A,$B468,'08'!H:H)+SUMIF('09'!$A:$A,$B468,'09'!H:H)+SUMIF('10'!$A:$A,$B468,'10'!H:H)+SUMIF('11'!$A:$A,$B468,'11'!H:H)+SUMIF('12'!$A:$A,$B468,'12'!H:H)+SUMIF('13'!$A:$A,$B468,'13'!H:H)+SUMIF('15'!$A:$A,$B468,'15'!H:H)+SUMIF('17'!$A:$A,$B468,'17'!H:H)+SUMIF('20'!$A:$A,$B468,'20'!H:H)+SUMIF('30'!$A:$A,$B468,'30'!H:H)+SUMIF('35'!$A:$A,$B468,'35'!H:H)+SUMIF('40'!$A:$A,$B468,'40'!H:H)+SUMIF('45'!$A:$A,$B468,'45'!H:H)</f>
        <v>80000</v>
      </c>
      <c r="K468" s="61">
        <f>SUMIF('05'!$A:$A,$B468,'05'!I:I)+SUMIF('07'!$A:$A,$B468,'07'!I:I)+SUMIF('08'!$A:$A,$B468,'08'!I:I)+SUMIF('09'!$A:$A,$B468,'09'!I:I)+SUMIF('10'!$A:$A,$B468,'10'!I:I)+SUMIF('11'!$A:$A,$B468,'11'!I:I)+SUMIF('12'!$A:$A,$B468,'12'!I:I)+SUMIF('13'!$A:$A,$B468,'13'!I:I)+SUMIF('15'!$A:$A,$B468,'15'!I:I)+SUMIF('17'!$A:$A,$B468,'17'!I:I)+SUMIF('20'!$A:$A,$B468,'20'!I:I)+SUMIF('30'!$A:$A,$B468,'30'!I:I)+SUMIF('35'!$A:$A,$B468,'35'!I:I)+SUMIF('40'!$A:$A,$B468,'40'!I:I)+SUMIF('45'!$A:$A,$B468,'45'!I:I)</f>
        <v>80000</v>
      </c>
      <c r="L468" s="61">
        <f>SUMIF('05'!$A:$A,$B468,'05'!J:J)+SUMIF('07'!$A:$A,$B468,'07'!J:J)+SUMIF('08'!$A:$A,$B468,'08'!J:J)+SUMIF('09'!$A:$A,$B468,'09'!J:J)+SUMIF('10'!$A:$A,$B468,'10'!J:J)+SUMIF('11'!$A:$A,$B468,'11'!J:J)+SUMIF('12'!$A:$A,$B468,'12'!J:J)+SUMIF('13'!$A:$A,$B468,'13'!J:J)+SUMIF('15'!$A:$A,$B468,'15'!J:J)+SUMIF('17'!$A:$A,$B468,'17'!J:J)+SUMIF('20'!$A:$A,$B468,'20'!J:J)+SUMIF('30'!$A:$A,$B468,'30'!J:J)+SUMIF('35'!$A:$A,$B468,'35'!J:J)+SUMIF('40'!$A:$A,$B468,'40'!J:J)+SUMIF('45'!$A:$A,$B468,'45'!J:J)</f>
        <v>80000</v>
      </c>
    </row>
    <row r="469" spans="2:12" x14ac:dyDescent="0.2">
      <c r="B469" s="37">
        <v>283</v>
      </c>
      <c r="C469" s="37"/>
      <c r="D469" s="50" t="s">
        <v>236</v>
      </c>
      <c r="E469" s="50"/>
      <c r="F469" s="50"/>
      <c r="G469" s="61">
        <f>SUMIF('05'!$A:$A,$B469,'05'!E:E)+SUMIF('07'!$A:$A,$B469,'07'!E:E)+SUMIF('08'!$A:$A,$B469,'08'!E:E)+SUMIF('09'!$A:$A,$B469,'09'!E:E)+SUMIF('10'!$A:$A,$B469,'10'!E:E)+SUMIF('11'!$A:$A,$B469,'11'!E:E)+SUMIF('12'!$A:$A,$B469,'12'!E:E)+SUMIF('13'!$A:$A,$B469,'13'!E:E)+SUMIF('15'!$A:$A,$B469,'15'!E:E)+SUMIF('17'!$A:$A,$B469,'17'!E:E)+SUMIF('20'!$A:$A,$B469,'20'!E:E)+SUMIF('30'!$A:$A,$B469,'30'!E:E)+SUMIF('35'!$A:$A,$B469,'35'!E:E)+SUMIF('40'!$A:$A,$B469,'40'!E:E)+SUMIF('45'!$A:$A,$B469,'45'!E:E)</f>
        <v>337710.07</v>
      </c>
      <c r="H469" s="61">
        <f>SUMIF('05'!$A:$A,$B469,'05'!F:F)+SUMIF('07'!$A:$A,$B469,'07'!F:F)+SUMIF('08'!$A:$A,$B469,'08'!F:F)+SUMIF('09'!$A:$A,$B469,'09'!F:F)+SUMIF('10'!$A:$A,$B469,'10'!F:F)+SUMIF('11'!$A:$A,$B469,'11'!F:F)+SUMIF('12'!$A:$A,$B469,'12'!F:F)+SUMIF('13'!$A:$A,$B469,'13'!F:F)+SUMIF('15'!$A:$A,$B469,'15'!F:F)+SUMIF('17'!$A:$A,$B469,'17'!F:F)+SUMIF('20'!$A:$A,$B469,'20'!F:F)+SUMIF('30'!$A:$A,$B469,'30'!F:F)+SUMIF('35'!$A:$A,$B469,'35'!F:F)+SUMIF('40'!$A:$A,$B469,'40'!F:F)+SUMIF('45'!$A:$A,$B469,'45'!F:F)</f>
        <v>430000</v>
      </c>
      <c r="I469" s="61">
        <f>SUMIF('05'!$A:$A,$B469,'05'!G:G)+SUMIF('07'!$A:$A,$B469,'07'!G:G)+SUMIF('08'!$A:$A,$B469,'08'!G:G)+SUMIF('09'!$A:$A,$B469,'09'!G:G)+SUMIF('10'!$A:$A,$B469,'10'!G:G)+SUMIF('11'!$A:$A,$B469,'11'!G:G)+SUMIF('12'!$A:$A,$B469,'12'!G:G)+SUMIF('13'!$A:$A,$B469,'13'!G:G)+SUMIF('15'!$A:$A,$B469,'15'!G:G)+SUMIF('17'!$A:$A,$B469,'17'!G:G)+SUMIF('20'!$A:$A,$B469,'20'!G:G)+SUMIF('30'!$A:$A,$B469,'30'!G:G)+SUMIF('35'!$A:$A,$B469,'35'!G:G)+SUMIF('40'!$A:$A,$B469,'40'!G:G)+SUMIF('45'!$A:$A,$B469,'45'!G:G)</f>
        <v>321000</v>
      </c>
      <c r="J469" s="61">
        <f>SUMIF('05'!$A:$A,$B469,'05'!H:H)+SUMIF('07'!$A:$A,$B469,'07'!H:H)+SUMIF('08'!$A:$A,$B469,'08'!H:H)+SUMIF('09'!$A:$A,$B469,'09'!H:H)+SUMIF('10'!$A:$A,$B469,'10'!H:H)+SUMIF('11'!$A:$A,$B469,'11'!H:H)+SUMIF('12'!$A:$A,$B469,'12'!H:H)+SUMIF('13'!$A:$A,$B469,'13'!H:H)+SUMIF('15'!$A:$A,$B469,'15'!H:H)+SUMIF('17'!$A:$A,$B469,'17'!H:H)+SUMIF('20'!$A:$A,$B469,'20'!H:H)+SUMIF('30'!$A:$A,$B469,'30'!H:H)+SUMIF('35'!$A:$A,$B469,'35'!H:H)+SUMIF('40'!$A:$A,$B469,'40'!H:H)+SUMIF('45'!$A:$A,$B469,'45'!H:H)</f>
        <v>340000</v>
      </c>
      <c r="K469" s="61">
        <f>SUMIF('05'!$A:$A,$B469,'05'!I:I)+SUMIF('07'!$A:$A,$B469,'07'!I:I)+SUMIF('08'!$A:$A,$B469,'08'!I:I)+SUMIF('09'!$A:$A,$B469,'09'!I:I)+SUMIF('10'!$A:$A,$B469,'10'!I:I)+SUMIF('11'!$A:$A,$B469,'11'!I:I)+SUMIF('12'!$A:$A,$B469,'12'!I:I)+SUMIF('13'!$A:$A,$B469,'13'!I:I)+SUMIF('15'!$A:$A,$B469,'15'!I:I)+SUMIF('17'!$A:$A,$B469,'17'!I:I)+SUMIF('20'!$A:$A,$B469,'20'!I:I)+SUMIF('30'!$A:$A,$B469,'30'!I:I)+SUMIF('35'!$A:$A,$B469,'35'!I:I)+SUMIF('40'!$A:$A,$B469,'40'!I:I)+SUMIF('45'!$A:$A,$B469,'45'!I:I)</f>
        <v>340000</v>
      </c>
      <c r="L469" s="61">
        <f>SUMIF('05'!$A:$A,$B469,'05'!J:J)+SUMIF('07'!$A:$A,$B469,'07'!J:J)+SUMIF('08'!$A:$A,$B469,'08'!J:J)+SUMIF('09'!$A:$A,$B469,'09'!J:J)+SUMIF('10'!$A:$A,$B469,'10'!J:J)+SUMIF('11'!$A:$A,$B469,'11'!J:J)+SUMIF('12'!$A:$A,$B469,'12'!J:J)+SUMIF('13'!$A:$A,$B469,'13'!J:J)+SUMIF('15'!$A:$A,$B469,'15'!J:J)+SUMIF('17'!$A:$A,$B469,'17'!J:J)+SUMIF('20'!$A:$A,$B469,'20'!J:J)+SUMIF('30'!$A:$A,$B469,'30'!J:J)+SUMIF('35'!$A:$A,$B469,'35'!J:J)+SUMIF('40'!$A:$A,$B469,'40'!J:J)+SUMIF('45'!$A:$A,$B469,'45'!J:J)</f>
        <v>340000</v>
      </c>
    </row>
    <row r="470" spans="2:12" x14ac:dyDescent="0.2">
      <c r="B470" s="37">
        <v>284</v>
      </c>
      <c r="C470" s="37"/>
      <c r="D470" s="50" t="s">
        <v>237</v>
      </c>
      <c r="E470" s="50"/>
      <c r="F470" s="50"/>
      <c r="G470" s="61">
        <f>SUMIF('05'!$A:$A,$B470,'05'!E:E)+SUMIF('07'!$A:$A,$B470,'07'!E:E)+SUMIF('08'!$A:$A,$B470,'08'!E:E)+SUMIF('09'!$A:$A,$B470,'09'!E:E)+SUMIF('10'!$A:$A,$B470,'10'!E:E)+SUMIF('11'!$A:$A,$B470,'11'!E:E)+SUMIF('12'!$A:$A,$B470,'12'!E:E)+SUMIF('13'!$A:$A,$B470,'13'!E:E)+SUMIF('15'!$A:$A,$B470,'15'!E:E)+SUMIF('17'!$A:$A,$B470,'17'!E:E)+SUMIF('20'!$A:$A,$B470,'20'!E:E)+SUMIF('30'!$A:$A,$B470,'30'!E:E)+SUMIF('35'!$A:$A,$B470,'35'!E:E)+SUMIF('40'!$A:$A,$B470,'40'!E:E)+SUMIF('45'!$A:$A,$B470,'45'!E:E)</f>
        <v>25050.97</v>
      </c>
      <c r="H470" s="61">
        <f>SUMIF('05'!$A:$A,$B470,'05'!F:F)+SUMIF('07'!$A:$A,$B470,'07'!F:F)+SUMIF('08'!$A:$A,$B470,'08'!F:F)+SUMIF('09'!$A:$A,$B470,'09'!F:F)+SUMIF('10'!$A:$A,$B470,'10'!F:F)+SUMIF('11'!$A:$A,$B470,'11'!F:F)+SUMIF('12'!$A:$A,$B470,'12'!F:F)+SUMIF('13'!$A:$A,$B470,'13'!F:F)+SUMIF('15'!$A:$A,$B470,'15'!F:F)+SUMIF('17'!$A:$A,$B470,'17'!F:F)+SUMIF('20'!$A:$A,$B470,'20'!F:F)+SUMIF('30'!$A:$A,$B470,'30'!F:F)+SUMIF('35'!$A:$A,$B470,'35'!F:F)+SUMIF('40'!$A:$A,$B470,'40'!F:F)+SUMIF('45'!$A:$A,$B470,'45'!F:F)</f>
        <v>89000</v>
      </c>
      <c r="I470" s="61">
        <f>SUMIF('05'!$A:$A,$B470,'05'!G:G)+SUMIF('07'!$A:$A,$B470,'07'!G:G)+SUMIF('08'!$A:$A,$B470,'08'!G:G)+SUMIF('09'!$A:$A,$B470,'09'!G:G)+SUMIF('10'!$A:$A,$B470,'10'!G:G)+SUMIF('11'!$A:$A,$B470,'11'!G:G)+SUMIF('12'!$A:$A,$B470,'12'!G:G)+SUMIF('13'!$A:$A,$B470,'13'!G:G)+SUMIF('15'!$A:$A,$B470,'15'!G:G)+SUMIF('17'!$A:$A,$B470,'17'!G:G)+SUMIF('20'!$A:$A,$B470,'20'!G:G)+SUMIF('30'!$A:$A,$B470,'30'!G:G)+SUMIF('35'!$A:$A,$B470,'35'!G:G)+SUMIF('40'!$A:$A,$B470,'40'!G:G)+SUMIF('45'!$A:$A,$B470,'45'!G:G)</f>
        <v>89000</v>
      </c>
      <c r="J470" s="61">
        <f>SUMIF('05'!$A:$A,$B470,'05'!H:H)+SUMIF('07'!$A:$A,$B470,'07'!H:H)+SUMIF('08'!$A:$A,$B470,'08'!H:H)+SUMIF('09'!$A:$A,$B470,'09'!H:H)+SUMIF('10'!$A:$A,$B470,'10'!H:H)+SUMIF('11'!$A:$A,$B470,'11'!H:H)+SUMIF('12'!$A:$A,$B470,'12'!H:H)+SUMIF('13'!$A:$A,$B470,'13'!H:H)+SUMIF('15'!$A:$A,$B470,'15'!H:H)+SUMIF('17'!$A:$A,$B470,'17'!H:H)+SUMIF('20'!$A:$A,$B470,'20'!H:H)+SUMIF('30'!$A:$A,$B470,'30'!H:H)+SUMIF('35'!$A:$A,$B470,'35'!H:H)+SUMIF('40'!$A:$A,$B470,'40'!H:H)+SUMIF('45'!$A:$A,$B470,'45'!H:H)</f>
        <v>89000</v>
      </c>
      <c r="K470" s="61">
        <f>SUMIF('05'!$A:$A,$B470,'05'!I:I)+SUMIF('07'!$A:$A,$B470,'07'!I:I)+SUMIF('08'!$A:$A,$B470,'08'!I:I)+SUMIF('09'!$A:$A,$B470,'09'!I:I)+SUMIF('10'!$A:$A,$B470,'10'!I:I)+SUMIF('11'!$A:$A,$B470,'11'!I:I)+SUMIF('12'!$A:$A,$B470,'12'!I:I)+SUMIF('13'!$A:$A,$B470,'13'!I:I)+SUMIF('15'!$A:$A,$B470,'15'!I:I)+SUMIF('17'!$A:$A,$B470,'17'!I:I)+SUMIF('20'!$A:$A,$B470,'20'!I:I)+SUMIF('30'!$A:$A,$B470,'30'!I:I)+SUMIF('35'!$A:$A,$B470,'35'!I:I)+SUMIF('40'!$A:$A,$B470,'40'!I:I)+SUMIF('45'!$A:$A,$B470,'45'!I:I)</f>
        <v>89000</v>
      </c>
      <c r="L470" s="61">
        <f>SUMIF('05'!$A:$A,$B470,'05'!J:J)+SUMIF('07'!$A:$A,$B470,'07'!J:J)+SUMIF('08'!$A:$A,$B470,'08'!J:J)+SUMIF('09'!$A:$A,$B470,'09'!J:J)+SUMIF('10'!$A:$A,$B470,'10'!J:J)+SUMIF('11'!$A:$A,$B470,'11'!J:J)+SUMIF('12'!$A:$A,$B470,'12'!J:J)+SUMIF('13'!$A:$A,$B470,'13'!J:J)+SUMIF('15'!$A:$A,$B470,'15'!J:J)+SUMIF('17'!$A:$A,$B470,'17'!J:J)+SUMIF('20'!$A:$A,$B470,'20'!J:J)+SUMIF('30'!$A:$A,$B470,'30'!J:J)+SUMIF('35'!$A:$A,$B470,'35'!J:J)+SUMIF('40'!$A:$A,$B470,'40'!J:J)+SUMIF('45'!$A:$A,$B470,'45'!J:J)</f>
        <v>89000</v>
      </c>
    </row>
    <row r="471" spans="2:12" x14ac:dyDescent="0.2">
      <c r="B471" s="37">
        <v>290</v>
      </c>
      <c r="C471" s="37"/>
      <c r="D471" s="50" t="s">
        <v>238</v>
      </c>
      <c r="E471" s="50"/>
      <c r="F471" s="50"/>
      <c r="G471" s="61">
        <f>SUMIF('05'!$A:$A,$B471,'05'!E:E)+SUMIF('07'!$A:$A,$B471,'07'!E:E)+SUMIF('08'!$A:$A,$B471,'08'!E:E)+SUMIF('09'!$A:$A,$B471,'09'!E:E)+SUMIF('10'!$A:$A,$B471,'10'!E:E)+SUMIF('11'!$A:$A,$B471,'11'!E:E)+SUMIF('12'!$A:$A,$B471,'12'!E:E)+SUMIF('13'!$A:$A,$B471,'13'!E:E)+SUMIF('15'!$A:$A,$B471,'15'!E:E)+SUMIF('17'!$A:$A,$B471,'17'!E:E)+SUMIF('20'!$A:$A,$B471,'20'!E:E)+SUMIF('30'!$A:$A,$B471,'30'!E:E)+SUMIF('35'!$A:$A,$B471,'35'!E:E)+SUMIF('40'!$A:$A,$B471,'40'!E:E)+SUMIF('45'!$A:$A,$B471,'45'!E:E)</f>
        <v>17114.93</v>
      </c>
      <c r="H471" s="61">
        <f>SUMIF('05'!$A:$A,$B471,'05'!F:F)+SUMIF('07'!$A:$A,$B471,'07'!F:F)+SUMIF('08'!$A:$A,$B471,'08'!F:F)+SUMIF('09'!$A:$A,$B471,'09'!F:F)+SUMIF('10'!$A:$A,$B471,'10'!F:F)+SUMIF('11'!$A:$A,$B471,'11'!F:F)+SUMIF('12'!$A:$A,$B471,'12'!F:F)+SUMIF('13'!$A:$A,$B471,'13'!F:F)+SUMIF('15'!$A:$A,$B471,'15'!F:F)+SUMIF('17'!$A:$A,$B471,'17'!F:F)+SUMIF('20'!$A:$A,$B471,'20'!F:F)+SUMIF('30'!$A:$A,$B471,'30'!F:F)+SUMIF('35'!$A:$A,$B471,'35'!F:F)+SUMIF('40'!$A:$A,$B471,'40'!F:F)+SUMIF('45'!$A:$A,$B471,'45'!F:F)</f>
        <v>3500</v>
      </c>
      <c r="I471" s="61">
        <f>SUMIF('05'!$A:$A,$B471,'05'!G:G)+SUMIF('07'!$A:$A,$B471,'07'!G:G)+SUMIF('08'!$A:$A,$B471,'08'!G:G)+SUMIF('09'!$A:$A,$B471,'09'!G:G)+SUMIF('10'!$A:$A,$B471,'10'!G:G)+SUMIF('11'!$A:$A,$B471,'11'!G:G)+SUMIF('12'!$A:$A,$B471,'12'!G:G)+SUMIF('13'!$A:$A,$B471,'13'!G:G)+SUMIF('15'!$A:$A,$B471,'15'!G:G)+SUMIF('17'!$A:$A,$B471,'17'!G:G)+SUMIF('20'!$A:$A,$B471,'20'!G:G)+SUMIF('30'!$A:$A,$B471,'30'!G:G)+SUMIF('35'!$A:$A,$B471,'35'!G:G)+SUMIF('40'!$A:$A,$B471,'40'!G:G)+SUMIF('45'!$A:$A,$B471,'45'!G:G)</f>
        <v>2800</v>
      </c>
      <c r="J471" s="61">
        <f>SUMIF('05'!$A:$A,$B471,'05'!H:H)+SUMIF('07'!$A:$A,$B471,'07'!H:H)+SUMIF('08'!$A:$A,$B471,'08'!H:H)+SUMIF('09'!$A:$A,$B471,'09'!H:H)+SUMIF('10'!$A:$A,$B471,'10'!H:H)+SUMIF('11'!$A:$A,$B471,'11'!H:H)+SUMIF('12'!$A:$A,$B471,'12'!H:H)+SUMIF('13'!$A:$A,$B471,'13'!H:H)+SUMIF('15'!$A:$A,$B471,'15'!H:H)+SUMIF('17'!$A:$A,$B471,'17'!H:H)+SUMIF('20'!$A:$A,$B471,'20'!H:H)+SUMIF('30'!$A:$A,$B471,'30'!H:H)+SUMIF('35'!$A:$A,$B471,'35'!H:H)+SUMIF('40'!$A:$A,$B471,'40'!H:H)+SUMIF('45'!$A:$A,$B471,'45'!H:H)</f>
        <v>329400</v>
      </c>
      <c r="K471" s="61">
        <f>SUMIF('05'!$A:$A,$B471,'05'!I:I)+SUMIF('07'!$A:$A,$B471,'07'!I:I)+SUMIF('08'!$A:$A,$B471,'08'!I:I)+SUMIF('09'!$A:$A,$B471,'09'!I:I)+SUMIF('10'!$A:$A,$B471,'10'!I:I)+SUMIF('11'!$A:$A,$B471,'11'!I:I)+SUMIF('12'!$A:$A,$B471,'12'!I:I)+SUMIF('13'!$A:$A,$B471,'13'!I:I)+SUMIF('15'!$A:$A,$B471,'15'!I:I)+SUMIF('17'!$A:$A,$B471,'17'!I:I)+SUMIF('20'!$A:$A,$B471,'20'!I:I)+SUMIF('30'!$A:$A,$B471,'30'!I:I)+SUMIF('35'!$A:$A,$B471,'35'!I:I)+SUMIF('40'!$A:$A,$B471,'40'!I:I)+SUMIF('45'!$A:$A,$B471,'45'!I:I)</f>
        <v>329400</v>
      </c>
      <c r="L471" s="61">
        <f>SUMIF('05'!$A:$A,$B471,'05'!J:J)+SUMIF('07'!$A:$A,$B471,'07'!J:J)+SUMIF('08'!$A:$A,$B471,'08'!J:J)+SUMIF('09'!$A:$A,$B471,'09'!J:J)+SUMIF('10'!$A:$A,$B471,'10'!J:J)+SUMIF('11'!$A:$A,$B471,'11'!J:J)+SUMIF('12'!$A:$A,$B471,'12'!J:J)+SUMIF('13'!$A:$A,$B471,'13'!J:J)+SUMIF('15'!$A:$A,$B471,'15'!J:J)+SUMIF('17'!$A:$A,$B471,'17'!J:J)+SUMIF('20'!$A:$A,$B471,'20'!J:J)+SUMIF('30'!$A:$A,$B471,'30'!J:J)+SUMIF('35'!$A:$A,$B471,'35'!J:J)+SUMIF('40'!$A:$A,$B471,'40'!J:J)+SUMIF('45'!$A:$A,$B471,'45'!J:J)</f>
        <v>329400</v>
      </c>
    </row>
    <row r="472" spans="2:12" x14ac:dyDescent="0.2">
      <c r="B472" s="37">
        <v>292</v>
      </c>
      <c r="C472" s="37"/>
      <c r="D472" s="50" t="s">
        <v>239</v>
      </c>
      <c r="E472" s="50"/>
      <c r="F472" s="50"/>
      <c r="G472" s="61">
        <f>SUMIF('05'!$A:$A,$B472,'05'!E:E)+SUMIF('07'!$A:$A,$B472,'07'!E:E)+SUMIF('08'!$A:$A,$B472,'08'!E:E)+SUMIF('09'!$A:$A,$B472,'09'!E:E)+SUMIF('10'!$A:$A,$B472,'10'!E:E)+SUMIF('11'!$A:$A,$B472,'11'!E:E)+SUMIF('12'!$A:$A,$B472,'12'!E:E)+SUMIF('13'!$A:$A,$B472,'13'!E:E)+SUMIF('15'!$A:$A,$B472,'15'!E:E)+SUMIF('17'!$A:$A,$B472,'17'!E:E)+SUMIF('20'!$A:$A,$B472,'20'!E:E)+SUMIF('30'!$A:$A,$B472,'30'!E:E)+SUMIF('35'!$A:$A,$B472,'35'!E:E)+SUMIF('40'!$A:$A,$B472,'40'!E:E)+SUMIF('45'!$A:$A,$B472,'45'!E:E)</f>
        <v>501663.92</v>
      </c>
      <c r="H472" s="61">
        <f>SUMIF('05'!$A:$A,$B472,'05'!F:F)+SUMIF('07'!$A:$A,$B472,'07'!F:F)+SUMIF('08'!$A:$A,$B472,'08'!F:F)+SUMIF('09'!$A:$A,$B472,'09'!F:F)+SUMIF('10'!$A:$A,$B472,'10'!F:F)+SUMIF('11'!$A:$A,$B472,'11'!F:F)+SUMIF('12'!$A:$A,$B472,'12'!F:F)+SUMIF('13'!$A:$A,$B472,'13'!F:F)+SUMIF('15'!$A:$A,$B472,'15'!F:F)+SUMIF('17'!$A:$A,$B472,'17'!F:F)+SUMIF('20'!$A:$A,$B472,'20'!F:F)+SUMIF('30'!$A:$A,$B472,'30'!F:F)+SUMIF('35'!$A:$A,$B472,'35'!F:F)+SUMIF('40'!$A:$A,$B472,'40'!F:F)+SUMIF('45'!$A:$A,$B472,'45'!F:F)</f>
        <v>502000</v>
      </c>
      <c r="I472" s="61">
        <f>SUMIF('05'!$A:$A,$B472,'05'!G:G)+SUMIF('07'!$A:$A,$B472,'07'!G:G)+SUMIF('08'!$A:$A,$B472,'08'!G:G)+SUMIF('09'!$A:$A,$B472,'09'!G:G)+SUMIF('10'!$A:$A,$B472,'10'!G:G)+SUMIF('11'!$A:$A,$B472,'11'!G:G)+SUMIF('12'!$A:$A,$B472,'12'!G:G)+SUMIF('13'!$A:$A,$B472,'13'!G:G)+SUMIF('15'!$A:$A,$B472,'15'!G:G)+SUMIF('17'!$A:$A,$B472,'17'!G:G)+SUMIF('20'!$A:$A,$B472,'20'!G:G)+SUMIF('30'!$A:$A,$B472,'30'!G:G)+SUMIF('35'!$A:$A,$B472,'35'!G:G)+SUMIF('40'!$A:$A,$B472,'40'!G:G)+SUMIF('45'!$A:$A,$B472,'45'!G:G)</f>
        <v>501900</v>
      </c>
      <c r="J472" s="61">
        <f>SUMIF('05'!$A:$A,$B472,'05'!H:H)+SUMIF('07'!$A:$A,$B472,'07'!H:H)+SUMIF('08'!$A:$A,$B472,'08'!H:H)+SUMIF('09'!$A:$A,$B472,'09'!H:H)+SUMIF('10'!$A:$A,$B472,'10'!H:H)+SUMIF('11'!$A:$A,$B472,'11'!H:H)+SUMIF('12'!$A:$A,$B472,'12'!H:H)+SUMIF('13'!$A:$A,$B472,'13'!H:H)+SUMIF('15'!$A:$A,$B472,'15'!H:H)+SUMIF('17'!$A:$A,$B472,'17'!H:H)+SUMIF('20'!$A:$A,$B472,'20'!H:H)+SUMIF('30'!$A:$A,$B472,'30'!H:H)+SUMIF('35'!$A:$A,$B472,'35'!H:H)+SUMIF('40'!$A:$A,$B472,'40'!H:H)+SUMIF('45'!$A:$A,$B472,'45'!H:H)</f>
        <v>502000</v>
      </c>
      <c r="K472" s="61">
        <f>SUMIF('05'!$A:$A,$B472,'05'!I:I)+SUMIF('07'!$A:$A,$B472,'07'!I:I)+SUMIF('08'!$A:$A,$B472,'08'!I:I)+SUMIF('09'!$A:$A,$B472,'09'!I:I)+SUMIF('10'!$A:$A,$B472,'10'!I:I)+SUMIF('11'!$A:$A,$B472,'11'!I:I)+SUMIF('12'!$A:$A,$B472,'12'!I:I)+SUMIF('13'!$A:$A,$B472,'13'!I:I)+SUMIF('15'!$A:$A,$B472,'15'!I:I)+SUMIF('17'!$A:$A,$B472,'17'!I:I)+SUMIF('20'!$A:$A,$B472,'20'!I:I)+SUMIF('30'!$A:$A,$B472,'30'!I:I)+SUMIF('35'!$A:$A,$B472,'35'!I:I)+SUMIF('40'!$A:$A,$B472,'40'!I:I)+SUMIF('45'!$A:$A,$B472,'45'!I:I)</f>
        <v>502000</v>
      </c>
      <c r="L472" s="61">
        <f>SUMIF('05'!$A:$A,$B472,'05'!J:J)+SUMIF('07'!$A:$A,$B472,'07'!J:J)+SUMIF('08'!$A:$A,$B472,'08'!J:J)+SUMIF('09'!$A:$A,$B472,'09'!J:J)+SUMIF('10'!$A:$A,$B472,'10'!J:J)+SUMIF('11'!$A:$A,$B472,'11'!J:J)+SUMIF('12'!$A:$A,$B472,'12'!J:J)+SUMIF('13'!$A:$A,$B472,'13'!J:J)+SUMIF('15'!$A:$A,$B472,'15'!J:J)+SUMIF('17'!$A:$A,$B472,'17'!J:J)+SUMIF('20'!$A:$A,$B472,'20'!J:J)+SUMIF('30'!$A:$A,$B472,'30'!J:J)+SUMIF('35'!$A:$A,$B472,'35'!J:J)+SUMIF('40'!$A:$A,$B472,'40'!J:J)+SUMIF('45'!$A:$A,$B472,'45'!J:J)</f>
        <v>502000</v>
      </c>
    </row>
    <row r="473" spans="2:12" x14ac:dyDescent="0.2">
      <c r="B473" s="37">
        <v>293</v>
      </c>
      <c r="C473" s="37"/>
      <c r="D473" s="50" t="s">
        <v>240</v>
      </c>
      <c r="E473" s="50"/>
      <c r="F473" s="50"/>
      <c r="G473" s="61">
        <f>SUMIF('05'!$A:$A,$B473,'05'!E:E)+SUMIF('07'!$A:$A,$B473,'07'!E:E)+SUMIF('08'!$A:$A,$B473,'08'!E:E)+SUMIF('09'!$A:$A,$B473,'09'!E:E)+SUMIF('10'!$A:$A,$B473,'10'!E:E)+SUMIF('11'!$A:$A,$B473,'11'!E:E)+SUMIF('12'!$A:$A,$B473,'12'!E:E)+SUMIF('13'!$A:$A,$B473,'13'!E:E)+SUMIF('15'!$A:$A,$B473,'15'!E:E)+SUMIF('17'!$A:$A,$B473,'17'!E:E)+SUMIF('20'!$A:$A,$B473,'20'!E:E)+SUMIF('30'!$A:$A,$B473,'30'!E:E)+SUMIF('35'!$A:$A,$B473,'35'!E:E)+SUMIF('40'!$A:$A,$B473,'40'!E:E)+SUMIF('45'!$A:$A,$B473,'45'!E:E)</f>
        <v>139956.01</v>
      </c>
      <c r="H473" s="61">
        <f>SUMIF('05'!$A:$A,$B473,'05'!F:F)+SUMIF('07'!$A:$A,$B473,'07'!F:F)+SUMIF('08'!$A:$A,$B473,'08'!F:F)+SUMIF('09'!$A:$A,$B473,'09'!F:F)+SUMIF('10'!$A:$A,$B473,'10'!F:F)+SUMIF('11'!$A:$A,$B473,'11'!F:F)+SUMIF('12'!$A:$A,$B473,'12'!F:F)+SUMIF('13'!$A:$A,$B473,'13'!F:F)+SUMIF('15'!$A:$A,$B473,'15'!F:F)+SUMIF('17'!$A:$A,$B473,'17'!F:F)+SUMIF('20'!$A:$A,$B473,'20'!F:F)+SUMIF('30'!$A:$A,$B473,'30'!F:F)+SUMIF('35'!$A:$A,$B473,'35'!F:F)+SUMIF('40'!$A:$A,$B473,'40'!F:F)+SUMIF('45'!$A:$A,$B473,'45'!F:F)</f>
        <v>138000</v>
      </c>
      <c r="I473" s="61">
        <f>SUMIF('05'!$A:$A,$B473,'05'!G:G)+SUMIF('07'!$A:$A,$B473,'07'!G:G)+SUMIF('08'!$A:$A,$B473,'08'!G:G)+SUMIF('09'!$A:$A,$B473,'09'!G:G)+SUMIF('10'!$A:$A,$B473,'10'!G:G)+SUMIF('11'!$A:$A,$B473,'11'!G:G)+SUMIF('12'!$A:$A,$B473,'12'!G:G)+SUMIF('13'!$A:$A,$B473,'13'!G:G)+SUMIF('15'!$A:$A,$B473,'15'!G:G)+SUMIF('17'!$A:$A,$B473,'17'!G:G)+SUMIF('20'!$A:$A,$B473,'20'!G:G)+SUMIF('30'!$A:$A,$B473,'30'!G:G)+SUMIF('35'!$A:$A,$B473,'35'!G:G)+SUMIF('40'!$A:$A,$B473,'40'!G:G)+SUMIF('45'!$A:$A,$B473,'45'!G:G)</f>
        <v>133000</v>
      </c>
      <c r="J473" s="61">
        <f>SUMIF('05'!$A:$A,$B473,'05'!H:H)+SUMIF('07'!$A:$A,$B473,'07'!H:H)+SUMIF('08'!$A:$A,$B473,'08'!H:H)+SUMIF('09'!$A:$A,$B473,'09'!H:H)+SUMIF('10'!$A:$A,$B473,'10'!H:H)+SUMIF('11'!$A:$A,$B473,'11'!H:H)+SUMIF('12'!$A:$A,$B473,'12'!H:H)+SUMIF('13'!$A:$A,$B473,'13'!H:H)+SUMIF('15'!$A:$A,$B473,'15'!H:H)+SUMIF('17'!$A:$A,$B473,'17'!H:H)+SUMIF('20'!$A:$A,$B473,'20'!H:H)+SUMIF('30'!$A:$A,$B473,'30'!H:H)+SUMIF('35'!$A:$A,$B473,'35'!H:H)+SUMIF('40'!$A:$A,$B473,'40'!H:H)+SUMIF('45'!$A:$A,$B473,'45'!H:H)</f>
        <v>247300</v>
      </c>
      <c r="K473" s="61">
        <f>SUMIF('05'!$A:$A,$B473,'05'!I:I)+SUMIF('07'!$A:$A,$B473,'07'!I:I)+SUMIF('08'!$A:$A,$B473,'08'!I:I)+SUMIF('09'!$A:$A,$B473,'09'!I:I)+SUMIF('10'!$A:$A,$B473,'10'!I:I)+SUMIF('11'!$A:$A,$B473,'11'!I:I)+SUMIF('12'!$A:$A,$B473,'12'!I:I)+SUMIF('13'!$A:$A,$B473,'13'!I:I)+SUMIF('15'!$A:$A,$B473,'15'!I:I)+SUMIF('17'!$A:$A,$B473,'17'!I:I)+SUMIF('20'!$A:$A,$B473,'20'!I:I)+SUMIF('30'!$A:$A,$B473,'30'!I:I)+SUMIF('35'!$A:$A,$B473,'35'!I:I)+SUMIF('40'!$A:$A,$B473,'40'!I:I)+SUMIF('45'!$A:$A,$B473,'45'!I:I)</f>
        <v>247300</v>
      </c>
      <c r="L473" s="61">
        <f>SUMIF('05'!$A:$A,$B473,'05'!J:J)+SUMIF('07'!$A:$A,$B473,'07'!J:J)+SUMIF('08'!$A:$A,$B473,'08'!J:J)+SUMIF('09'!$A:$A,$B473,'09'!J:J)+SUMIF('10'!$A:$A,$B473,'10'!J:J)+SUMIF('11'!$A:$A,$B473,'11'!J:J)+SUMIF('12'!$A:$A,$B473,'12'!J:J)+SUMIF('13'!$A:$A,$B473,'13'!J:J)+SUMIF('15'!$A:$A,$B473,'15'!J:J)+SUMIF('17'!$A:$A,$B473,'17'!J:J)+SUMIF('20'!$A:$A,$B473,'20'!J:J)+SUMIF('30'!$A:$A,$B473,'30'!J:J)+SUMIF('35'!$A:$A,$B473,'35'!J:J)+SUMIF('40'!$A:$A,$B473,'40'!J:J)+SUMIF('45'!$A:$A,$B473,'45'!J:J)</f>
        <v>247300</v>
      </c>
    </row>
    <row r="474" spans="2:12" ht="13.5" thickBot="1" x14ac:dyDescent="0.25">
      <c r="B474" s="45"/>
      <c r="C474" s="45"/>
      <c r="D474" s="45"/>
      <c r="E474" s="78" t="s">
        <v>16</v>
      </c>
      <c r="F474" s="50"/>
      <c r="G474" s="65">
        <f t="shared" ref="G474:L474" si="35">SUM(G430:G473)</f>
        <v>119676881.7</v>
      </c>
      <c r="H474" s="65">
        <f t="shared" si="35"/>
        <v>128238300</v>
      </c>
      <c r="I474" s="65">
        <f t="shared" si="35"/>
        <v>123228500</v>
      </c>
      <c r="J474" s="65">
        <f t="shared" si="35"/>
        <v>126602800</v>
      </c>
      <c r="K474" s="65">
        <f t="shared" si="35"/>
        <v>125997800</v>
      </c>
      <c r="L474" s="65">
        <f t="shared" si="35"/>
        <v>126437700</v>
      </c>
    </row>
    <row r="475" spans="2:12" x14ac:dyDescent="0.2">
      <c r="B475" s="45"/>
      <c r="C475" s="45"/>
      <c r="D475" s="45"/>
      <c r="E475" s="78"/>
      <c r="F475" s="50"/>
      <c r="G475" s="89"/>
      <c r="H475" s="39"/>
      <c r="I475" s="39"/>
      <c r="J475" s="39"/>
      <c r="K475" s="39"/>
      <c r="L475" s="39"/>
    </row>
    <row r="476" spans="2:12" x14ac:dyDescent="0.2">
      <c r="B476" s="50"/>
      <c r="C476" s="50"/>
      <c r="D476" s="67" t="s">
        <v>241</v>
      </c>
      <c r="E476" s="67"/>
      <c r="F476" s="67"/>
      <c r="G476" s="67"/>
      <c r="H476" s="67"/>
      <c r="I476" s="67"/>
      <c r="J476" s="67"/>
      <c r="K476" s="67"/>
      <c r="L476" s="67"/>
    </row>
    <row r="477" spans="2:12" ht="33.75" x14ac:dyDescent="0.2">
      <c r="B477" s="90"/>
      <c r="C477" s="90" t="s">
        <v>242</v>
      </c>
      <c r="D477" s="90"/>
      <c r="E477" s="90"/>
      <c r="F477" s="90"/>
      <c r="G477" s="91" t="str">
        <f t="shared" ref="G477:L477" si="36">G3</f>
        <v>Actuals           2014-2015</v>
      </c>
      <c r="H477" s="91" t="str">
        <f t="shared" si="36"/>
        <v>Approved Estimates          2015-2016</v>
      </c>
      <c r="I477" s="91" t="str">
        <f t="shared" si="36"/>
        <v>Revised Estimates                 2015-2016</v>
      </c>
      <c r="J477" s="91" t="str">
        <f t="shared" si="36"/>
        <v>Budget Estimates      2016-2017</v>
      </c>
      <c r="K477" s="91" t="str">
        <f t="shared" si="36"/>
        <v>Forward Estimates     2017-2018</v>
      </c>
      <c r="L477" s="91" t="str">
        <f t="shared" si="36"/>
        <v>Forward Estimates     2018-2019</v>
      </c>
    </row>
    <row r="478" spans="2:12" ht="13.5" thickBot="1" x14ac:dyDescent="0.25">
      <c r="B478" s="92" t="s">
        <v>243</v>
      </c>
      <c r="C478" s="92"/>
      <c r="D478" s="92" t="s">
        <v>244</v>
      </c>
      <c r="E478" s="92" t="s">
        <v>245</v>
      </c>
      <c r="F478" s="92"/>
      <c r="G478" s="15"/>
      <c r="H478" s="15"/>
      <c r="I478" s="15"/>
      <c r="J478" s="15"/>
      <c r="K478" s="15"/>
      <c r="L478" s="15"/>
    </row>
    <row r="479" spans="2:12" x14ac:dyDescent="0.2">
      <c r="B479" s="93" t="s">
        <v>246</v>
      </c>
    </row>
    <row r="480" spans="2:12" x14ac:dyDescent="0.2">
      <c r="B480" s="37" t="str">
        <f>'12'!A64</f>
        <v>01A</v>
      </c>
      <c r="C480" s="37"/>
      <c r="D480" s="50" t="str">
        <f>'12'!B64</f>
        <v>DFID</v>
      </c>
      <c r="E480" s="50" t="str">
        <f>'12'!C64</f>
        <v>PSR2/3</v>
      </c>
      <c r="F480" s="56"/>
      <c r="G480" s="61">
        <f>'12'!E64</f>
        <v>536700</v>
      </c>
      <c r="H480" s="61">
        <f>'12'!F64</f>
        <v>0</v>
      </c>
      <c r="I480" s="61">
        <f>'12'!G64</f>
        <v>1772700</v>
      </c>
      <c r="J480" s="61">
        <f>'12'!H64</f>
        <v>2000000</v>
      </c>
      <c r="K480" s="61">
        <f>'12'!I64</f>
        <v>0</v>
      </c>
      <c r="L480" s="61">
        <f>'12'!J64</f>
        <v>0</v>
      </c>
    </row>
    <row r="481" spans="2:12" x14ac:dyDescent="0.2">
      <c r="B481" s="37" t="str">
        <f>'12'!A65</f>
        <v>02A</v>
      </c>
      <c r="C481" s="37"/>
      <c r="D481" s="50" t="str">
        <f>'12'!B65</f>
        <v>DFID</v>
      </c>
      <c r="E481" s="50" t="str">
        <f>'12'!C65</f>
        <v>Capacity Development Fund</v>
      </c>
      <c r="F481" s="56"/>
      <c r="G481" s="61">
        <f>'12'!E65</f>
        <v>34800</v>
      </c>
      <c r="H481" s="61">
        <f>'12'!F65</f>
        <v>0</v>
      </c>
      <c r="I481" s="61">
        <f>'12'!G65</f>
        <v>203600</v>
      </c>
      <c r="J481" s="61">
        <f>'12'!H65</f>
        <v>300000</v>
      </c>
      <c r="K481" s="61">
        <f>'12'!I65</f>
        <v>0</v>
      </c>
      <c r="L481" s="61">
        <f>'12'!J65</f>
        <v>0</v>
      </c>
    </row>
    <row r="482" spans="2:12" x14ac:dyDescent="0.2">
      <c r="B482" s="37" t="str">
        <f>'12'!A66</f>
        <v>04A</v>
      </c>
      <c r="C482" s="37"/>
      <c r="D482" s="50" t="str">
        <f>'12'!B66</f>
        <v>DFID</v>
      </c>
      <c r="E482" s="50" t="str">
        <f>'12'!C66</f>
        <v>Disaster Prepardness Repairs</v>
      </c>
      <c r="F482" s="56"/>
      <c r="G482" s="61">
        <f>'12'!E66</f>
        <v>12700</v>
      </c>
      <c r="H482" s="61">
        <f>'12'!F66</f>
        <v>0</v>
      </c>
      <c r="I482" s="61">
        <f>'12'!G66</f>
        <v>0</v>
      </c>
      <c r="J482" s="61">
        <f>'12'!H66</f>
        <v>180800</v>
      </c>
      <c r="K482" s="61">
        <f>'12'!I66</f>
        <v>0</v>
      </c>
      <c r="L482" s="61">
        <f>'12'!J66</f>
        <v>0</v>
      </c>
    </row>
    <row r="483" spans="2:12" x14ac:dyDescent="0.2">
      <c r="B483" s="78" t="str">
        <f>'12'!A67</f>
        <v>TOTAL CAPITAL EXPENDITURE</v>
      </c>
      <c r="C483" s="95"/>
      <c r="D483" s="49"/>
      <c r="E483" s="49"/>
      <c r="F483" s="96"/>
      <c r="G483" s="97">
        <f t="shared" ref="G483:L483" si="37">SUM(G480:G482)</f>
        <v>584200</v>
      </c>
      <c r="H483" s="97">
        <f t="shared" si="37"/>
        <v>0</v>
      </c>
      <c r="I483" s="97">
        <f t="shared" si="37"/>
        <v>1976300</v>
      </c>
      <c r="J483" s="97">
        <f t="shared" si="37"/>
        <v>2480800</v>
      </c>
      <c r="K483" s="97">
        <f t="shared" si="37"/>
        <v>0</v>
      </c>
      <c r="L483" s="97">
        <f t="shared" si="37"/>
        <v>0</v>
      </c>
    </row>
    <row r="485" spans="2:12" x14ac:dyDescent="0.2">
      <c r="B485" s="93" t="s">
        <v>247</v>
      </c>
    </row>
    <row r="486" spans="2:12" x14ac:dyDescent="0.2">
      <c r="B486" s="37" t="str">
        <f>'15'!A51</f>
        <v>32A</v>
      </c>
      <c r="C486" s="37"/>
      <c r="D486" s="50" t="str">
        <f>'15'!B51</f>
        <v>GOM</v>
      </c>
      <c r="E486" s="50" t="str">
        <f>'15'!C51</f>
        <v>Media Exchange Develoment</v>
      </c>
      <c r="F486" s="56"/>
      <c r="G486" s="61">
        <f>'15'!E51</f>
        <v>1470600</v>
      </c>
      <c r="H486" s="61">
        <f>'15'!F51</f>
        <v>292900</v>
      </c>
      <c r="I486" s="61">
        <f>'15'!G51</f>
        <v>573339</v>
      </c>
      <c r="J486" s="61">
        <f>'15'!H51</f>
        <v>0</v>
      </c>
      <c r="K486" s="61">
        <f>'15'!I51</f>
        <v>0</v>
      </c>
      <c r="L486" s="61">
        <f>'15'!J51</f>
        <v>0</v>
      </c>
    </row>
    <row r="487" spans="2:12" x14ac:dyDescent="0.2">
      <c r="B487" s="37" t="str">
        <f>'15'!A52</f>
        <v>31A</v>
      </c>
      <c r="C487" s="37"/>
      <c r="D487" s="50" t="str">
        <f>'15'!B52</f>
        <v>DFID</v>
      </c>
      <c r="E487" s="50" t="str">
        <f>'15'!C52</f>
        <v>Cemetary Establishment</v>
      </c>
      <c r="F487" s="56"/>
      <c r="G487" s="61">
        <f>'15'!E52</f>
        <v>0</v>
      </c>
      <c r="H487" s="61">
        <f>'15'!F52</f>
        <v>270800</v>
      </c>
      <c r="I487" s="61">
        <f>'15'!G52</f>
        <v>270800</v>
      </c>
      <c r="J487" s="61">
        <f>'15'!H52</f>
        <v>270800</v>
      </c>
      <c r="K487" s="61">
        <f>'15'!I52</f>
        <v>0</v>
      </c>
      <c r="L487" s="61">
        <f>'15'!J52</f>
        <v>0</v>
      </c>
    </row>
    <row r="488" spans="2:12" x14ac:dyDescent="0.2">
      <c r="B488" s="37" t="str">
        <f>'15'!A53</f>
        <v>02A</v>
      </c>
      <c r="C488" s="37"/>
      <c r="D488" s="50" t="str">
        <f>'15'!B53</f>
        <v>DFID</v>
      </c>
      <c r="E488" s="50" t="str">
        <f>'15'!C53</f>
        <v>MDC Operations 2012</v>
      </c>
      <c r="F488" s="56"/>
      <c r="G488" s="61">
        <f>'15'!E53</f>
        <v>0</v>
      </c>
      <c r="H488" s="61">
        <f>'15'!F53</f>
        <v>2000000</v>
      </c>
      <c r="I488" s="61">
        <f>'15'!G53</f>
        <v>2604700</v>
      </c>
      <c r="J488" s="61">
        <f>'15'!H53</f>
        <v>0</v>
      </c>
      <c r="K488" s="61">
        <f>'15'!I53</f>
        <v>0</v>
      </c>
      <c r="L488" s="61">
        <f>'15'!J53</f>
        <v>0</v>
      </c>
    </row>
    <row r="489" spans="2:12" x14ac:dyDescent="0.2">
      <c r="B489" s="37" t="str">
        <f>'15'!A54</f>
        <v>99A</v>
      </c>
      <c r="C489" s="37"/>
      <c r="D489" s="50" t="str">
        <f>'15'!B54</f>
        <v>DFID</v>
      </c>
      <c r="E489" s="50" t="str">
        <f>'15'!C54</f>
        <v>Tourism Management &amp; Development Consultancy</v>
      </c>
      <c r="F489" s="56"/>
      <c r="G489" s="61">
        <f>'15'!E54</f>
        <v>0</v>
      </c>
      <c r="H489" s="61">
        <f>'15'!F54</f>
        <v>0</v>
      </c>
      <c r="I489" s="61">
        <f>'15'!G54</f>
        <v>395100</v>
      </c>
      <c r="J489" s="61">
        <f>'15'!H54</f>
        <v>0</v>
      </c>
      <c r="K489" s="61">
        <f>'15'!I54</f>
        <v>0</v>
      </c>
      <c r="L489" s="61">
        <f>'15'!J54</f>
        <v>0</v>
      </c>
    </row>
    <row r="490" spans="2:12" x14ac:dyDescent="0.2">
      <c r="B490" s="37" t="str">
        <f>'15'!A55</f>
        <v>56A</v>
      </c>
      <c r="C490" s="37"/>
      <c r="D490" s="50" t="str">
        <f>'15'!B55</f>
        <v>LOCAL</v>
      </c>
      <c r="E490" s="50" t="str">
        <f>'15'!C55</f>
        <v>BNTF 6/7</v>
      </c>
      <c r="F490" s="56"/>
      <c r="G490" s="61">
        <f>'15'!E55</f>
        <v>0</v>
      </c>
      <c r="H490" s="61">
        <f>'15'!F55</f>
        <v>500000</v>
      </c>
      <c r="I490" s="61">
        <f>'15'!G55</f>
        <v>500000</v>
      </c>
      <c r="J490" s="61">
        <f>'15'!H55</f>
        <v>0</v>
      </c>
      <c r="K490" s="61">
        <f>'15'!I55</f>
        <v>0</v>
      </c>
      <c r="L490" s="61">
        <f>'15'!J55</f>
        <v>0</v>
      </c>
    </row>
    <row r="491" spans="2:12" x14ac:dyDescent="0.2">
      <c r="B491" s="37" t="str">
        <f>'15'!A56</f>
        <v>67A</v>
      </c>
      <c r="C491" s="37"/>
      <c r="D491" s="50" t="str">
        <f>'15'!B56</f>
        <v>EU</v>
      </c>
      <c r="E491" s="50" t="str">
        <f>'15'!C56</f>
        <v>Fibre Optic Cable Phase 2</v>
      </c>
      <c r="F491" s="56"/>
      <c r="G491" s="61">
        <f>'15'!E56</f>
        <v>0</v>
      </c>
      <c r="H491" s="61">
        <f>'15'!F56</f>
        <v>2996300</v>
      </c>
      <c r="I491" s="61">
        <f>'15'!G56</f>
        <v>2996300</v>
      </c>
      <c r="J491" s="61">
        <f>'15'!H56</f>
        <v>3000000</v>
      </c>
      <c r="K491" s="61">
        <f>'15'!I56</f>
        <v>0</v>
      </c>
      <c r="L491" s="61">
        <f>'15'!J56</f>
        <v>0</v>
      </c>
    </row>
    <row r="492" spans="2:12" x14ac:dyDescent="0.2">
      <c r="B492" s="37" t="str">
        <f>'15'!A57</f>
        <v>74A</v>
      </c>
      <c r="C492" s="37"/>
      <c r="D492" s="50" t="str">
        <f>'15'!B57</f>
        <v>EU</v>
      </c>
      <c r="E492" s="50" t="str">
        <f>'15'!C57</f>
        <v>ICT</v>
      </c>
      <c r="F492" s="56"/>
      <c r="G492" s="61">
        <f>'15'!E57</f>
        <v>0</v>
      </c>
      <c r="H492" s="61">
        <f>'15'!F57</f>
        <v>1870000</v>
      </c>
      <c r="I492" s="61">
        <f>'15'!G57</f>
        <v>1870000</v>
      </c>
      <c r="J492" s="61">
        <f>'15'!H57</f>
        <v>1377600</v>
      </c>
      <c r="K492" s="61">
        <f>'15'!I57</f>
        <v>0</v>
      </c>
      <c r="L492" s="61">
        <f>'15'!J57</f>
        <v>0</v>
      </c>
    </row>
    <row r="493" spans="2:12" x14ac:dyDescent="0.2">
      <c r="B493" s="37" t="str">
        <f>'15'!A58</f>
        <v>02A</v>
      </c>
      <c r="C493" s="37"/>
      <c r="D493" s="50" t="str">
        <f>'15'!B58</f>
        <v>UNDP</v>
      </c>
      <c r="E493" s="50" t="str">
        <f>'15'!C58</f>
        <v>Environmental Remediation &amp; Protection</v>
      </c>
      <c r="F493" s="56"/>
      <c r="G493" s="61">
        <f>'15'!E58</f>
        <v>0</v>
      </c>
      <c r="H493" s="61">
        <f>'15'!F58</f>
        <v>0</v>
      </c>
      <c r="I493" s="61">
        <f>'15'!G58</f>
        <v>51000</v>
      </c>
      <c r="J493" s="61">
        <f>'15'!H58</f>
        <v>51000</v>
      </c>
      <c r="K493" s="61">
        <f>'15'!I58</f>
        <v>0</v>
      </c>
      <c r="L493" s="61">
        <f>'15'!J58</f>
        <v>0</v>
      </c>
    </row>
    <row r="494" spans="2:12" x14ac:dyDescent="0.2">
      <c r="B494" s="78" t="str">
        <f>'15'!A59</f>
        <v>TOTAL CAPITAL EXPENDITURE</v>
      </c>
      <c r="C494" s="95"/>
      <c r="D494" s="49"/>
      <c r="E494" s="49"/>
      <c r="F494" s="96"/>
      <c r="G494" s="97">
        <f t="shared" ref="G494:L494" si="38">SUM(G486:G493)</f>
        <v>1470600</v>
      </c>
      <c r="H494" s="97">
        <f t="shared" si="38"/>
        <v>7930000</v>
      </c>
      <c r="I494" s="97">
        <f t="shared" si="38"/>
        <v>9261239</v>
      </c>
      <c r="J494" s="97">
        <f t="shared" si="38"/>
        <v>4699400</v>
      </c>
      <c r="K494" s="97">
        <f t="shared" si="38"/>
        <v>0</v>
      </c>
      <c r="L494" s="97">
        <f t="shared" si="38"/>
        <v>0</v>
      </c>
    </row>
    <row r="495" spans="2:12" x14ac:dyDescent="0.2">
      <c r="B495" s="78"/>
      <c r="C495" s="95"/>
      <c r="D495" s="49"/>
      <c r="E495" s="49"/>
      <c r="F495" s="96"/>
      <c r="G495" s="89"/>
      <c r="H495" s="89"/>
      <c r="I495" s="89"/>
      <c r="J495" s="89"/>
      <c r="K495" s="89"/>
      <c r="L495" s="89"/>
    </row>
    <row r="496" spans="2:12" x14ac:dyDescent="0.2">
      <c r="B496" s="93" t="s">
        <v>248</v>
      </c>
    </row>
    <row r="497" spans="2:12" x14ac:dyDescent="0.2">
      <c r="B497" s="37" t="str">
        <f>'17'!A58</f>
        <v>02A</v>
      </c>
      <c r="C497" s="37"/>
      <c r="D497" s="50" t="str">
        <f>'17'!B58</f>
        <v>DFID</v>
      </c>
      <c r="E497" s="50" t="str">
        <f>'17'!C58</f>
        <v>MDC Operations 2012</v>
      </c>
      <c r="F497" s="56"/>
      <c r="G497" s="61">
        <f>'17'!E58</f>
        <v>5255912</v>
      </c>
      <c r="H497" s="61">
        <f>'17'!F58</f>
        <v>0</v>
      </c>
      <c r="I497" s="61">
        <f>'17'!G58</f>
        <v>0</v>
      </c>
      <c r="J497" s="61">
        <f>'17'!H58</f>
        <v>0</v>
      </c>
      <c r="K497" s="61">
        <f>'17'!I58</f>
        <v>0</v>
      </c>
      <c r="L497" s="61">
        <f>'17'!J58</f>
        <v>0</v>
      </c>
    </row>
    <row r="498" spans="2:12" x14ac:dyDescent="0.2">
      <c r="B498" s="37" t="str">
        <f>'17'!A59</f>
        <v>56A</v>
      </c>
      <c r="C498" s="37"/>
      <c r="D498" s="50" t="str">
        <f>'17'!B59</f>
        <v>LOCAL</v>
      </c>
      <c r="E498" s="50" t="str">
        <f>'17'!C59</f>
        <v>BNTF 6</v>
      </c>
      <c r="F498" s="56"/>
      <c r="G498" s="61">
        <f>'17'!E59</f>
        <v>323879.73</v>
      </c>
      <c r="H498" s="61">
        <f>'17'!F59</f>
        <v>0</v>
      </c>
      <c r="I498" s="61">
        <f>'17'!G59</f>
        <v>0</v>
      </c>
      <c r="J498" s="61">
        <f>'17'!H59</f>
        <v>0</v>
      </c>
      <c r="K498" s="61">
        <f>'17'!I59</f>
        <v>0</v>
      </c>
      <c r="L498" s="61">
        <f>'17'!J59</f>
        <v>0</v>
      </c>
    </row>
    <row r="499" spans="2:12" x14ac:dyDescent="0.2">
      <c r="B499" s="37" t="str">
        <f>'17'!A60</f>
        <v>67A</v>
      </c>
      <c r="C499" s="37"/>
      <c r="D499" s="50" t="str">
        <f>'17'!B60</f>
        <v>EU</v>
      </c>
      <c r="E499" s="50" t="str">
        <f>'17'!C60</f>
        <v>Fibre Optic Cable Phase 2</v>
      </c>
      <c r="F499" s="56"/>
      <c r="G499" s="61">
        <f>'17'!E60</f>
        <v>168025.93</v>
      </c>
      <c r="H499" s="61">
        <f>'17'!F60</f>
        <v>0</v>
      </c>
      <c r="I499" s="61">
        <f>'17'!G60</f>
        <v>0</v>
      </c>
      <c r="J499" s="61">
        <f>'17'!H60</f>
        <v>0</v>
      </c>
      <c r="K499" s="61">
        <f>'17'!I60</f>
        <v>0</v>
      </c>
      <c r="L499" s="61">
        <f>'17'!J60</f>
        <v>0</v>
      </c>
    </row>
    <row r="500" spans="2:12" x14ac:dyDescent="0.2">
      <c r="B500" s="37" t="str">
        <f>'17'!A61</f>
        <v>74A</v>
      </c>
      <c r="C500" s="37"/>
      <c r="D500" s="50" t="str">
        <f>'17'!B61</f>
        <v>EU</v>
      </c>
      <c r="E500" s="50" t="str">
        <f>'17'!C61</f>
        <v>ICT</v>
      </c>
      <c r="F500" s="56"/>
      <c r="G500" s="61">
        <f>'17'!E61</f>
        <v>20700</v>
      </c>
      <c r="H500" s="61">
        <f>'17'!F61</f>
        <v>0</v>
      </c>
      <c r="I500" s="61">
        <f>'17'!G61</f>
        <v>0</v>
      </c>
      <c r="J500" s="61">
        <f>'17'!H61</f>
        <v>0</v>
      </c>
      <c r="K500" s="61">
        <f>'17'!I61</f>
        <v>0</v>
      </c>
      <c r="L500" s="61">
        <f>'17'!J61</f>
        <v>0</v>
      </c>
    </row>
    <row r="501" spans="2:12" x14ac:dyDescent="0.2">
      <c r="B501" s="78" t="str">
        <f>'17'!A62</f>
        <v>TOTAL CAPITAL EXPENDITURE</v>
      </c>
      <c r="C501" s="95"/>
      <c r="D501" s="49"/>
      <c r="E501" s="49"/>
      <c r="F501" s="96"/>
      <c r="G501" s="97">
        <f>'17'!E62</f>
        <v>5768517.6600000001</v>
      </c>
      <c r="H501" s="97">
        <f>'17'!F62</f>
        <v>0</v>
      </c>
      <c r="I501" s="97">
        <f>'17'!G62</f>
        <v>0</v>
      </c>
      <c r="J501" s="97">
        <f>'17'!H62</f>
        <v>0</v>
      </c>
      <c r="K501" s="97">
        <f>'17'!I62</f>
        <v>0</v>
      </c>
      <c r="L501" s="97">
        <f>'17'!J62</f>
        <v>0</v>
      </c>
    </row>
    <row r="503" spans="2:12" x14ac:dyDescent="0.2">
      <c r="B503" s="49" t="s">
        <v>249</v>
      </c>
    </row>
    <row r="504" spans="2:12" x14ac:dyDescent="0.2">
      <c r="B504" s="37" t="str">
        <f>'20'!A57</f>
        <v>78A</v>
      </c>
      <c r="C504" s="37"/>
      <c r="D504" s="50" t="str">
        <f>'20'!B57</f>
        <v>EU</v>
      </c>
      <c r="E504" s="50" t="str">
        <f>'20'!C57</f>
        <v xml:space="preserve">Project Management </v>
      </c>
      <c r="F504" s="56"/>
      <c r="G504" s="61">
        <f>'20'!E57</f>
        <v>1291371.47</v>
      </c>
      <c r="H504" s="61">
        <f>'20'!F57</f>
        <v>2500000</v>
      </c>
      <c r="I504" s="61">
        <f>'20'!G57</f>
        <v>2500000</v>
      </c>
      <c r="J504" s="61">
        <f>'20'!H57</f>
        <v>1000000</v>
      </c>
      <c r="K504" s="61">
        <f>'20'!I57</f>
        <v>500000</v>
      </c>
      <c r="L504" s="61">
        <f>'20'!J57</f>
        <v>0</v>
      </c>
    </row>
    <row r="505" spans="2:12" x14ac:dyDescent="0.2">
      <c r="B505" s="37" t="str">
        <f>'20'!A58</f>
        <v>32A</v>
      </c>
      <c r="C505" s="37"/>
      <c r="D505" s="50" t="str">
        <f>'20'!B58</f>
        <v>DFID</v>
      </c>
      <c r="E505" s="50" t="str">
        <f>'20'!C58</f>
        <v>Education Infastructure</v>
      </c>
      <c r="F505" s="56"/>
      <c r="G505" s="61">
        <f>'20'!E58</f>
        <v>1010773.01</v>
      </c>
      <c r="H505" s="61">
        <f>'20'!F58</f>
        <v>284800</v>
      </c>
      <c r="I505" s="61">
        <f>'20'!G58</f>
        <v>394300</v>
      </c>
      <c r="J505" s="61">
        <f>'20'!H58</f>
        <v>0</v>
      </c>
      <c r="K505" s="61">
        <f>'20'!I58</f>
        <v>0</v>
      </c>
      <c r="L505" s="61">
        <f>'20'!J58</f>
        <v>0</v>
      </c>
    </row>
    <row r="506" spans="2:12" x14ac:dyDescent="0.2">
      <c r="B506" s="37" t="str">
        <f>'20'!A59</f>
        <v>61A</v>
      </c>
      <c r="C506" s="37"/>
      <c r="D506" s="50" t="str">
        <f>'20'!B59</f>
        <v>DFID</v>
      </c>
      <c r="E506" s="50" t="str">
        <f>'20'!C59</f>
        <v xml:space="preserve">Government Accomodation </v>
      </c>
      <c r="F506" s="56"/>
      <c r="G506" s="61">
        <f>'20'!E59</f>
        <v>3057051.4699999997</v>
      </c>
      <c r="H506" s="61">
        <f>'20'!F59</f>
        <v>2200000</v>
      </c>
      <c r="I506" s="61">
        <f>'20'!G59</f>
        <v>2224000</v>
      </c>
      <c r="J506" s="61">
        <f>'20'!H59</f>
        <v>41600</v>
      </c>
      <c r="K506" s="61">
        <f>'20'!I59</f>
        <v>0</v>
      </c>
      <c r="L506" s="61">
        <f>'20'!J59</f>
        <v>0</v>
      </c>
    </row>
    <row r="507" spans="2:12" x14ac:dyDescent="0.2">
      <c r="B507" s="37" t="str">
        <f>'20'!A60</f>
        <v>33A</v>
      </c>
      <c r="C507" s="37"/>
      <c r="D507" s="50" t="str">
        <f>'20'!B60</f>
        <v>DFID</v>
      </c>
      <c r="E507" s="50" t="str">
        <f>'20'!C60</f>
        <v>Census 2012</v>
      </c>
      <c r="F507" s="56"/>
      <c r="G507" s="61">
        <f>'20'!E60</f>
        <v>0</v>
      </c>
      <c r="H507" s="61">
        <f>'20'!F60</f>
        <v>157400</v>
      </c>
      <c r="I507" s="61">
        <f>'20'!G60</f>
        <v>157400</v>
      </c>
      <c r="J507" s="61">
        <f>'20'!H60</f>
        <v>157400</v>
      </c>
      <c r="K507" s="61">
        <f>'20'!I60</f>
        <v>0</v>
      </c>
      <c r="L507" s="61">
        <f>'20'!J60</f>
        <v>0</v>
      </c>
    </row>
    <row r="508" spans="2:12" x14ac:dyDescent="0.2">
      <c r="B508" s="37" t="str">
        <f>'20'!A61</f>
        <v>34A</v>
      </c>
      <c r="C508" s="37"/>
      <c r="D508" s="50" t="str">
        <f>'20'!B61</f>
        <v>DFID</v>
      </c>
      <c r="E508" s="50" t="str">
        <f>'20'!C61</f>
        <v>Technical Support</v>
      </c>
      <c r="F508" s="56"/>
      <c r="G508" s="61">
        <f>'20'!E61</f>
        <v>992344.27999999991</v>
      </c>
      <c r="H508" s="61">
        <f>'20'!F61</f>
        <v>0</v>
      </c>
      <c r="I508" s="61">
        <f>'20'!G61</f>
        <v>0</v>
      </c>
      <c r="J508" s="61">
        <f>'20'!H61</f>
        <v>0</v>
      </c>
      <c r="K508" s="61">
        <f>'20'!I61</f>
        <v>0</v>
      </c>
      <c r="L508" s="61">
        <f>'20'!J61</f>
        <v>0</v>
      </c>
    </row>
    <row r="509" spans="2:12" x14ac:dyDescent="0.2">
      <c r="B509" s="37" t="str">
        <f>'20'!A62</f>
        <v>36A</v>
      </c>
      <c r="C509" s="37"/>
      <c r="D509" s="50" t="str">
        <f>'20'!B62</f>
        <v>EU</v>
      </c>
      <c r="E509" s="50" t="str">
        <f>'20'!C62</f>
        <v xml:space="preserve">Carr's Bay Port Development </v>
      </c>
      <c r="F509" s="56"/>
      <c r="G509" s="61">
        <f>'20'!E62</f>
        <v>1598124.3800000001</v>
      </c>
      <c r="H509" s="61">
        <f>'20'!F62</f>
        <v>0</v>
      </c>
      <c r="I509" s="61">
        <f>'20'!G62</f>
        <v>0</v>
      </c>
      <c r="J509" s="61">
        <f>'20'!H62</f>
        <v>0</v>
      </c>
      <c r="K509" s="61">
        <f>'20'!I62</f>
        <v>0</v>
      </c>
      <c r="L509" s="61">
        <f>'20'!J62</f>
        <v>0</v>
      </c>
    </row>
    <row r="510" spans="2:12" x14ac:dyDescent="0.2">
      <c r="B510" s="37" t="str">
        <f>'20'!A63</f>
        <v>24A</v>
      </c>
      <c r="C510" s="37"/>
      <c r="D510" s="50" t="str">
        <f>'20'!B63</f>
        <v>DFID</v>
      </c>
      <c r="E510" s="50" t="str">
        <f>'20'!C63</f>
        <v>Miscellaneous (Small Capital) 14</v>
      </c>
      <c r="F510" s="56"/>
      <c r="G510" s="61">
        <f>'20'!E63</f>
        <v>72260.2</v>
      </c>
      <c r="H510" s="61">
        <f>'20'!F63</f>
        <v>302000</v>
      </c>
      <c r="I510" s="61">
        <f>'20'!G63</f>
        <v>302000</v>
      </c>
      <c r="J510" s="61">
        <f>'20'!H63</f>
        <v>0</v>
      </c>
      <c r="K510" s="61">
        <f>'20'!I63</f>
        <v>0</v>
      </c>
      <c r="L510" s="61">
        <f>'20'!J63</f>
        <v>0</v>
      </c>
    </row>
    <row r="511" spans="2:12" x14ac:dyDescent="0.2">
      <c r="B511" s="37" t="str">
        <f>'20'!A64</f>
        <v>37A</v>
      </c>
      <c r="C511" s="37"/>
      <c r="D511" s="50" t="str">
        <f>'20'!B64</f>
        <v>DFID</v>
      </c>
      <c r="E511" s="50" t="str">
        <f>'20'!C64</f>
        <v xml:space="preserve">Hospital Redevelopment </v>
      </c>
      <c r="F511" s="56"/>
      <c r="G511" s="61">
        <f>'20'!E64</f>
        <v>2503190.7500000005</v>
      </c>
      <c r="H511" s="61">
        <f>'20'!F64</f>
        <v>1000000</v>
      </c>
      <c r="I511" s="61">
        <f>'20'!G64</f>
        <v>1817100</v>
      </c>
      <c r="J511" s="61">
        <f>'20'!H64</f>
        <v>200000</v>
      </c>
      <c r="K511" s="61">
        <f>'20'!I64</f>
        <v>0</v>
      </c>
      <c r="L511" s="61">
        <f>'20'!J64</f>
        <v>0</v>
      </c>
    </row>
    <row r="512" spans="2:12" x14ac:dyDescent="0.2">
      <c r="B512" s="37" t="str">
        <f>'20'!A65</f>
        <v>66A</v>
      </c>
      <c r="C512" s="37"/>
      <c r="D512" s="50" t="str">
        <f>'20'!B65</f>
        <v>EU</v>
      </c>
      <c r="E512" s="50" t="str">
        <f>'20'!C65</f>
        <v xml:space="preserve">Port Development(Gunn Hill) </v>
      </c>
      <c r="F512" s="56"/>
      <c r="G512" s="61">
        <f>'20'!E65</f>
        <v>200000</v>
      </c>
      <c r="H512" s="61">
        <f>'20'!F65</f>
        <v>0</v>
      </c>
      <c r="I512" s="61">
        <f>'20'!G65</f>
        <v>0</v>
      </c>
      <c r="J512" s="61">
        <f>'20'!H65</f>
        <v>0</v>
      </c>
      <c r="K512" s="61">
        <f>'20'!I65</f>
        <v>0</v>
      </c>
      <c r="L512" s="61">
        <f>'20'!J65</f>
        <v>0</v>
      </c>
    </row>
    <row r="513" spans="2:12" x14ac:dyDescent="0.2">
      <c r="B513" s="37" t="str">
        <f>'20'!A66</f>
        <v>68A</v>
      </c>
      <c r="C513" s="37"/>
      <c r="D513" s="50" t="str">
        <f>'20'!B66</f>
        <v>EU</v>
      </c>
      <c r="E513" s="50" t="str">
        <f>'20'!C66</f>
        <v xml:space="preserve">Sports Centre </v>
      </c>
      <c r="F513" s="56"/>
      <c r="G513" s="61">
        <f>'20'!E66</f>
        <v>3640000</v>
      </c>
      <c r="H513" s="61">
        <f>'20'!F66</f>
        <v>0</v>
      </c>
      <c r="I513" s="61">
        <f>'20'!G66</f>
        <v>0</v>
      </c>
      <c r="J513" s="61">
        <f>'20'!H66</f>
        <v>0</v>
      </c>
      <c r="K513" s="61">
        <f>'20'!I66</f>
        <v>0</v>
      </c>
      <c r="L513" s="61">
        <f>'20'!J66</f>
        <v>0</v>
      </c>
    </row>
    <row r="514" spans="2:12" x14ac:dyDescent="0.2">
      <c r="B514" s="37" t="str">
        <f>'20'!A67</f>
        <v>70A</v>
      </c>
      <c r="C514" s="37"/>
      <c r="D514" s="50" t="str">
        <f>'20'!B67</f>
        <v>EU</v>
      </c>
      <c r="E514" s="50" t="str">
        <f>'20'!C67</f>
        <v>Miscellaneous 14</v>
      </c>
      <c r="F514" s="56"/>
      <c r="G514" s="61">
        <f>'20'!E67</f>
        <v>590997.90999999992</v>
      </c>
      <c r="H514" s="61">
        <f>'20'!F67</f>
        <v>1500000</v>
      </c>
      <c r="I514" s="61">
        <f>'20'!G67</f>
        <v>1219600</v>
      </c>
      <c r="J514" s="61">
        <f>'20'!H67</f>
        <v>500000</v>
      </c>
      <c r="K514" s="61">
        <f>'20'!I67</f>
        <v>0</v>
      </c>
      <c r="L514" s="61">
        <f>'20'!J67</f>
        <v>0</v>
      </c>
    </row>
    <row r="515" spans="2:12" x14ac:dyDescent="0.2">
      <c r="B515" s="37" t="str">
        <f>'20'!A68</f>
        <v>71A</v>
      </c>
      <c r="C515" s="37"/>
      <c r="D515" s="50" t="str">
        <f>'20'!B68</f>
        <v>DFID</v>
      </c>
      <c r="E515" s="50" t="str">
        <f>'20'!C68</f>
        <v>MUL GENSET</v>
      </c>
      <c r="F515" s="56"/>
      <c r="G515" s="61">
        <f>'20'!E68</f>
        <v>5120878.0199999996</v>
      </c>
      <c r="H515" s="61">
        <f>'20'!F68</f>
        <v>10000000</v>
      </c>
      <c r="I515" s="61">
        <f>'20'!G68</f>
        <v>10000000</v>
      </c>
      <c r="J515" s="61">
        <f>'20'!H68</f>
        <v>8296500</v>
      </c>
      <c r="K515" s="61">
        <f>'20'!I68</f>
        <v>0</v>
      </c>
      <c r="L515" s="61">
        <f>'20'!J68</f>
        <v>0</v>
      </c>
    </row>
    <row r="516" spans="2:12" x14ac:dyDescent="0.2">
      <c r="B516" s="37" t="str">
        <f>'20'!A69</f>
        <v>72A</v>
      </c>
      <c r="C516" s="37"/>
      <c r="D516" s="50" t="str">
        <f>'20'!B69</f>
        <v>EU</v>
      </c>
      <c r="E516" s="50" t="str">
        <f>'20'!C69</f>
        <v>LookOut Housing Force 10</v>
      </c>
      <c r="F516" s="56"/>
      <c r="G516" s="61">
        <f>'20'!E69</f>
        <v>700000</v>
      </c>
      <c r="H516" s="61">
        <f>'20'!F69</f>
        <v>0</v>
      </c>
      <c r="I516" s="61">
        <f>'20'!G69</f>
        <v>1200000</v>
      </c>
      <c r="J516" s="61">
        <f>'20'!H69</f>
        <v>393200</v>
      </c>
      <c r="K516" s="61">
        <f>'20'!I69</f>
        <v>0</v>
      </c>
      <c r="L516" s="61">
        <f>'20'!J69</f>
        <v>0</v>
      </c>
    </row>
    <row r="517" spans="2:12" x14ac:dyDescent="0.2">
      <c r="B517" s="37" t="str">
        <f>'20'!A70</f>
        <v>73A</v>
      </c>
      <c r="C517" s="37"/>
      <c r="D517" s="50" t="str">
        <f>'20'!B70</f>
        <v>EU</v>
      </c>
      <c r="E517" s="50" t="str">
        <f>'20'!C70</f>
        <v>Credit Union Support to Housing</v>
      </c>
      <c r="F517" s="56"/>
      <c r="G517" s="61">
        <f>'20'!E70</f>
        <v>0</v>
      </c>
      <c r="H517" s="61">
        <f>'20'!F70</f>
        <v>1500000</v>
      </c>
      <c r="I517" s="61">
        <f>'20'!G70</f>
        <v>1000000</v>
      </c>
      <c r="J517" s="61">
        <f>'20'!H70</f>
        <v>0</v>
      </c>
      <c r="K517" s="61">
        <f>'20'!I70</f>
        <v>0</v>
      </c>
      <c r="L517" s="61">
        <f>'20'!J70</f>
        <v>0</v>
      </c>
    </row>
    <row r="518" spans="2:12" x14ac:dyDescent="0.2">
      <c r="B518" s="37" t="str">
        <f>'20'!A71</f>
        <v>74A</v>
      </c>
      <c r="C518" s="37"/>
      <c r="D518" s="50" t="str">
        <f>'20'!B71</f>
        <v>EU</v>
      </c>
      <c r="E518" s="50" t="str">
        <f>'20'!C71</f>
        <v>Davy Hill</v>
      </c>
      <c r="F518" s="56"/>
      <c r="G518" s="61">
        <f>'20'!E71</f>
        <v>305671</v>
      </c>
      <c r="H518" s="61">
        <f>'20'!F71</f>
        <v>1300000</v>
      </c>
      <c r="I518" s="61">
        <f>'20'!G71</f>
        <v>1300000</v>
      </c>
      <c r="J518" s="61">
        <f>'20'!H71</f>
        <v>1300000</v>
      </c>
      <c r="K518" s="61">
        <f>'20'!I71</f>
        <v>0</v>
      </c>
      <c r="L518" s="61">
        <f>'20'!J71</f>
        <v>0</v>
      </c>
    </row>
    <row r="519" spans="2:12" x14ac:dyDescent="0.2">
      <c r="B519" s="37" t="str">
        <f>'20'!A72</f>
        <v>78A</v>
      </c>
      <c r="C519" s="37"/>
      <c r="D519" s="50" t="str">
        <f>'20'!B72</f>
        <v>EU</v>
      </c>
      <c r="E519" s="50" t="str">
        <f>'20'!C72</f>
        <v>Port Development</v>
      </c>
      <c r="F519" s="56"/>
      <c r="G519" s="61">
        <f>'20'!E72</f>
        <v>0</v>
      </c>
      <c r="H519" s="61">
        <f>'20'!F72</f>
        <v>1500000</v>
      </c>
      <c r="I519" s="61">
        <f>'20'!G72</f>
        <v>1026100</v>
      </c>
      <c r="J519" s="61">
        <f>'20'!H72</f>
        <v>1026100</v>
      </c>
      <c r="K519" s="61">
        <f>'20'!I72</f>
        <v>0</v>
      </c>
      <c r="L519" s="61">
        <f>'20'!J72</f>
        <v>0</v>
      </c>
    </row>
    <row r="520" spans="2:12" x14ac:dyDescent="0.2">
      <c r="B520" s="37" t="str">
        <f>'20'!A73</f>
        <v>77A</v>
      </c>
      <c r="C520" s="37"/>
      <c r="D520" s="50" t="str">
        <f>'20'!B73</f>
        <v>EU</v>
      </c>
      <c r="E520" s="50" t="str">
        <f>'20'!C73</f>
        <v>Economic Infrastructure Development</v>
      </c>
      <c r="F520" s="56"/>
      <c r="G520" s="61">
        <f>'20'!E73</f>
        <v>0</v>
      </c>
      <c r="H520" s="61">
        <f>'20'!F73</f>
        <v>2000000</v>
      </c>
      <c r="I520" s="61">
        <f>'20'!G73</f>
        <v>2000000</v>
      </c>
      <c r="J520" s="61">
        <f>'20'!H73</f>
        <v>2000000</v>
      </c>
      <c r="K520" s="61">
        <f>'20'!I73</f>
        <v>349500</v>
      </c>
      <c r="L520" s="61">
        <f>'20'!J73</f>
        <v>0</v>
      </c>
    </row>
    <row r="521" spans="2:12" x14ac:dyDescent="0.2">
      <c r="B521" s="37" t="str">
        <f>'20'!A74</f>
        <v>76A</v>
      </c>
      <c r="C521" s="37"/>
      <c r="D521" s="50" t="str">
        <f>'20'!B74</f>
        <v>EU</v>
      </c>
      <c r="E521" s="50" t="str">
        <f>'20'!C74</f>
        <v>Water Course Embankment Protection</v>
      </c>
      <c r="F521" s="56"/>
      <c r="G521" s="61">
        <f>'20'!E74</f>
        <v>0</v>
      </c>
      <c r="H521" s="61">
        <f>'20'!F74</f>
        <v>265000</v>
      </c>
      <c r="I521" s="61">
        <f>'20'!G74</f>
        <v>265000</v>
      </c>
      <c r="J521" s="61">
        <f>'20'!H74</f>
        <v>0</v>
      </c>
      <c r="K521" s="61">
        <f>'20'!I74</f>
        <v>0</v>
      </c>
      <c r="L521" s="61">
        <f>'20'!J74</f>
        <v>0</v>
      </c>
    </row>
    <row r="522" spans="2:12" x14ac:dyDescent="0.2">
      <c r="B522" s="37" t="str">
        <f>'20'!A75</f>
        <v>75A</v>
      </c>
      <c r="C522" s="37"/>
      <c r="D522" s="50" t="str">
        <f>'20'!B75</f>
        <v>EU</v>
      </c>
      <c r="E522" s="50" t="str">
        <f>'20'!C75</f>
        <v>Promotion and Development</v>
      </c>
      <c r="F522" s="56"/>
      <c r="G522" s="61">
        <f>'20'!E75</f>
        <v>0</v>
      </c>
      <c r="H522" s="61">
        <f>'20'!F75</f>
        <v>1000000</v>
      </c>
      <c r="I522" s="61">
        <f>'20'!G75</f>
        <v>800000</v>
      </c>
      <c r="J522" s="61">
        <f>'20'!H75</f>
        <v>0</v>
      </c>
      <c r="K522" s="61">
        <f>'20'!I75</f>
        <v>0</v>
      </c>
      <c r="L522" s="61">
        <f>'20'!J75</f>
        <v>0</v>
      </c>
    </row>
    <row r="523" spans="2:12" x14ac:dyDescent="0.2">
      <c r="B523" s="37" t="str">
        <f>'20'!A76</f>
        <v>00A</v>
      </c>
      <c r="C523" s="37"/>
      <c r="D523" s="50" t="str">
        <f>'20'!B76</f>
        <v>DFID</v>
      </c>
      <c r="E523" s="50" t="str">
        <f>'20'!C76</f>
        <v>M/Rat Priority Infrastructure Needs -RDEL</v>
      </c>
      <c r="F523" s="56"/>
      <c r="G523" s="61">
        <f>'20'!E76</f>
        <v>0</v>
      </c>
      <c r="H523" s="61">
        <f>'20'!F76</f>
        <v>0</v>
      </c>
      <c r="I523" s="61">
        <f>'20'!G76</f>
        <v>0</v>
      </c>
      <c r="J523" s="61">
        <f>'20'!H76</f>
        <v>120000</v>
      </c>
      <c r="K523" s="61">
        <f>'20'!I76</f>
        <v>0</v>
      </c>
      <c r="L523" s="61">
        <f>'20'!J76</f>
        <v>0</v>
      </c>
    </row>
    <row r="524" spans="2:12" x14ac:dyDescent="0.2">
      <c r="B524" s="78" t="str">
        <f>'20'!A77</f>
        <v>TOTAL CAPITAL EXPENDITURE</v>
      </c>
      <c r="C524" s="95"/>
      <c r="D524" s="49"/>
      <c r="E524" s="49"/>
      <c r="F524" s="96"/>
      <c r="G524" s="97">
        <f t="shared" ref="G524:L524" si="39">SUM(G504:G523)</f>
        <v>21082662.490000002</v>
      </c>
      <c r="H524" s="97">
        <f t="shared" si="39"/>
        <v>25509200</v>
      </c>
      <c r="I524" s="97">
        <f t="shared" si="39"/>
        <v>26205500</v>
      </c>
      <c r="J524" s="97">
        <f t="shared" si="39"/>
        <v>15034800</v>
      </c>
      <c r="K524" s="97">
        <f t="shared" si="39"/>
        <v>849500</v>
      </c>
      <c r="L524" s="97">
        <f t="shared" si="39"/>
        <v>0</v>
      </c>
    </row>
    <row r="526" spans="2:12" x14ac:dyDescent="0.2">
      <c r="B526" s="93" t="s">
        <v>250</v>
      </c>
    </row>
    <row r="527" spans="2:12" x14ac:dyDescent="0.2">
      <c r="B527" s="37" t="str">
        <f>'30'!A69</f>
        <v>58A</v>
      </c>
      <c r="C527" s="37"/>
      <c r="D527" s="50" t="str">
        <f>'30'!B69</f>
        <v>OTEP</v>
      </c>
      <c r="E527" s="50" t="str">
        <f>'30'!C69</f>
        <v>Overseas Territories Environmental</v>
      </c>
      <c r="F527" s="56"/>
      <c r="G527" s="61">
        <f>'30'!E69</f>
        <v>0</v>
      </c>
      <c r="H527" s="61">
        <f>'30'!F69</f>
        <v>345600</v>
      </c>
      <c r="I527" s="61">
        <f>'30'!G69</f>
        <v>345600</v>
      </c>
      <c r="J527" s="61">
        <f>'30'!H69</f>
        <v>0</v>
      </c>
      <c r="K527" s="61">
        <f>'30'!I69</f>
        <v>0</v>
      </c>
      <c r="L527" s="61">
        <f>'30'!J69</f>
        <v>0</v>
      </c>
    </row>
    <row r="528" spans="2:12" x14ac:dyDescent="0.2">
      <c r="B528" s="37" t="str">
        <f>'30'!A70</f>
        <v>60A</v>
      </c>
      <c r="C528" s="37"/>
      <c r="D528" s="50" t="str">
        <f>'30'!B70</f>
        <v>DARWIN</v>
      </c>
      <c r="E528" s="50" t="str">
        <f>'30'!C70</f>
        <v>DARWIN Initiatives Post Project</v>
      </c>
      <c r="F528" s="56"/>
      <c r="G528" s="61">
        <f>'30'!E70</f>
        <v>186734.07</v>
      </c>
      <c r="H528" s="61">
        <f>'30'!F70</f>
        <v>362000</v>
      </c>
      <c r="I528" s="61">
        <f>'30'!G70</f>
        <v>362000</v>
      </c>
      <c r="J528" s="61">
        <f>'30'!H70</f>
        <v>0</v>
      </c>
      <c r="K528" s="61">
        <f>'30'!I70</f>
        <v>0</v>
      </c>
      <c r="L528" s="61">
        <f>'30'!J70</f>
        <v>0</v>
      </c>
    </row>
    <row r="529" spans="2:12" x14ac:dyDescent="0.2">
      <c r="B529" s="37" t="str">
        <f>'30'!A71</f>
        <v>60A</v>
      </c>
      <c r="C529" s="37"/>
      <c r="D529" s="50" t="str">
        <f>'30'!B71</f>
        <v>EU</v>
      </c>
      <c r="E529" s="50" t="str">
        <f>'30'!C71</f>
        <v>Toilet Facilities (Vulnerable)</v>
      </c>
      <c r="F529" s="56"/>
      <c r="G529" s="61">
        <f>'30'!E71</f>
        <v>249852.16999999998</v>
      </c>
      <c r="H529" s="61">
        <f>'30'!F71</f>
        <v>0</v>
      </c>
      <c r="I529" s="61">
        <f>'30'!G71</f>
        <v>0</v>
      </c>
      <c r="J529" s="61">
        <f>'30'!H71</f>
        <v>0</v>
      </c>
      <c r="K529" s="61">
        <f>'30'!I71</f>
        <v>0</v>
      </c>
      <c r="L529" s="61">
        <f>'30'!J71</f>
        <v>0</v>
      </c>
    </row>
    <row r="530" spans="2:12" x14ac:dyDescent="0.2">
      <c r="B530" s="37" t="str">
        <f>'30'!A72</f>
        <v>62A</v>
      </c>
      <c r="C530" s="37"/>
      <c r="D530" s="50" t="str">
        <f>'30'!B72</f>
        <v>EU</v>
      </c>
      <c r="E530" s="50" t="str">
        <f>'30'!C72</f>
        <v>Abattoir (Mahle) (Equipping Abattoir)</v>
      </c>
      <c r="F530" s="56"/>
      <c r="G530" s="61">
        <f>'30'!E72</f>
        <v>1172360.29</v>
      </c>
      <c r="H530" s="61">
        <f>'30'!F72</f>
        <v>0</v>
      </c>
      <c r="I530" s="61">
        <f>'30'!G72</f>
        <v>177600</v>
      </c>
      <c r="J530" s="61">
        <f>'30'!H72</f>
        <v>96800</v>
      </c>
      <c r="K530" s="61">
        <f>'30'!I72</f>
        <v>0</v>
      </c>
      <c r="L530" s="61">
        <f>'30'!J72</f>
        <v>0</v>
      </c>
    </row>
    <row r="531" spans="2:12" x14ac:dyDescent="0.2">
      <c r="B531" s="37" t="str">
        <f>'30'!A73</f>
        <v>63A</v>
      </c>
      <c r="C531" s="37"/>
      <c r="D531" s="50" t="str">
        <f>'30'!B73</f>
        <v>EU</v>
      </c>
      <c r="E531" s="50" t="str">
        <f>'30'!C73</f>
        <v>Social Housing Programme</v>
      </c>
      <c r="F531" s="56"/>
      <c r="G531" s="61">
        <f>'30'!E73</f>
        <v>0</v>
      </c>
      <c r="H531" s="61">
        <f>'30'!F73</f>
        <v>2000000</v>
      </c>
      <c r="I531" s="61">
        <f>'30'!G73</f>
        <v>2000000</v>
      </c>
      <c r="J531" s="61">
        <f>'30'!H73</f>
        <v>720000</v>
      </c>
      <c r="K531" s="61">
        <f>'30'!I73</f>
        <v>0</v>
      </c>
      <c r="L531" s="61">
        <f>'30'!J73</f>
        <v>0</v>
      </c>
    </row>
    <row r="532" spans="2:12" x14ac:dyDescent="0.2">
      <c r="B532" s="37" t="str">
        <f>'30'!A74</f>
        <v>93A</v>
      </c>
      <c r="C532" s="37"/>
      <c r="D532" s="50" t="str">
        <f>'30'!B74</f>
        <v>DFID</v>
      </c>
      <c r="E532" s="50" t="str">
        <f>'30'!C74</f>
        <v>Emergency Shelters</v>
      </c>
      <c r="F532" s="56"/>
      <c r="G532" s="61">
        <f>'30'!E74</f>
        <v>0</v>
      </c>
      <c r="H532" s="61">
        <f>'30'!F74</f>
        <v>0</v>
      </c>
      <c r="I532" s="61">
        <f>'30'!G74</f>
        <v>252000</v>
      </c>
      <c r="J532" s="61">
        <f>'30'!H74</f>
        <v>358200</v>
      </c>
      <c r="K532" s="61">
        <f>'30'!I74</f>
        <v>185600</v>
      </c>
      <c r="L532" s="61">
        <f>'30'!J74</f>
        <v>0</v>
      </c>
    </row>
    <row r="533" spans="2:12" x14ac:dyDescent="0.2">
      <c r="B533" s="37" t="str">
        <f>'30'!A75</f>
        <v>96A</v>
      </c>
      <c r="C533" s="37"/>
      <c r="D533" s="50" t="str">
        <f>'30'!B75</f>
        <v>DFID</v>
      </c>
      <c r="E533" s="50" t="str">
        <f>'30'!C75</f>
        <v xml:space="preserve">Social Housing </v>
      </c>
      <c r="F533" s="56"/>
      <c r="G533" s="61">
        <f>'30'!E75</f>
        <v>0</v>
      </c>
      <c r="H533" s="61">
        <f>'30'!F75</f>
        <v>0</v>
      </c>
      <c r="I533" s="61">
        <f>'30'!G75</f>
        <v>1999600</v>
      </c>
      <c r="J533" s="61">
        <f>'30'!H75</f>
        <v>1795400</v>
      </c>
      <c r="K533" s="61">
        <f>'30'!I75</f>
        <v>1113600</v>
      </c>
      <c r="L533" s="61">
        <f>'30'!J75</f>
        <v>0</v>
      </c>
    </row>
    <row r="534" spans="2:12" x14ac:dyDescent="0.2">
      <c r="B534" s="37" t="str">
        <f>'30'!A76</f>
        <v>01A</v>
      </c>
      <c r="C534" s="37"/>
      <c r="D534" s="50" t="str">
        <f>'30'!B76</f>
        <v>EU</v>
      </c>
      <c r="E534" s="50" t="str">
        <f>'30'!C76</f>
        <v>Agriculture Infrastructure Development</v>
      </c>
      <c r="F534" s="56"/>
      <c r="G534" s="61">
        <f>'30'!E76</f>
        <v>0</v>
      </c>
      <c r="H534" s="61">
        <f>'30'!F76</f>
        <v>0</v>
      </c>
      <c r="I534" s="61">
        <f>'30'!G76</f>
        <v>0</v>
      </c>
      <c r="J534" s="61">
        <f>'30'!H76</f>
        <v>100000</v>
      </c>
      <c r="K534" s="61">
        <f>'30'!I76</f>
        <v>0</v>
      </c>
      <c r="L534" s="61">
        <f>'30'!J76</f>
        <v>0</v>
      </c>
    </row>
    <row r="535" spans="2:12" x14ac:dyDescent="0.2">
      <c r="B535" s="78" t="str">
        <f>'30'!A77</f>
        <v>TOTAL CAPITAL EXPENDITURE</v>
      </c>
      <c r="C535" s="95"/>
      <c r="D535" s="49"/>
      <c r="E535" s="49"/>
      <c r="F535" s="96"/>
      <c r="G535" s="97">
        <f t="shared" ref="G535:L535" si="40">SUM(G527:G534)</f>
        <v>1608946.53</v>
      </c>
      <c r="H535" s="97">
        <f t="shared" si="40"/>
        <v>2707600</v>
      </c>
      <c r="I535" s="97">
        <f t="shared" si="40"/>
        <v>5136800</v>
      </c>
      <c r="J535" s="97">
        <f t="shared" si="40"/>
        <v>3070400</v>
      </c>
      <c r="K535" s="97">
        <f t="shared" si="40"/>
        <v>1299200</v>
      </c>
      <c r="L535" s="97">
        <f t="shared" si="40"/>
        <v>0</v>
      </c>
    </row>
    <row r="536" spans="2:12" x14ac:dyDescent="0.2">
      <c r="G536" s="81"/>
    </row>
    <row r="537" spans="2:12" x14ac:dyDescent="0.2">
      <c r="B537" s="49" t="s">
        <v>251</v>
      </c>
    </row>
    <row r="538" spans="2:12" x14ac:dyDescent="0.2">
      <c r="B538" s="37" t="str">
        <f>'35'!A53</f>
        <v>71A</v>
      </c>
      <c r="C538" s="37"/>
      <c r="D538" s="50" t="str">
        <f>'35'!B53</f>
        <v>DFID</v>
      </c>
      <c r="E538" s="50" t="str">
        <f>'35'!C53</f>
        <v>Geothermal Exploration</v>
      </c>
      <c r="F538" s="56"/>
      <c r="G538" s="61">
        <f>'35'!E53</f>
        <v>1812300</v>
      </c>
      <c r="H538" s="61">
        <f>'35'!F53</f>
        <v>4100000</v>
      </c>
      <c r="I538" s="61">
        <f>'35'!G53</f>
        <v>7006100</v>
      </c>
      <c r="J538" s="61">
        <f>'35'!H53</f>
        <v>4800000</v>
      </c>
      <c r="K538" s="61">
        <f>'35'!I53</f>
        <v>0</v>
      </c>
      <c r="L538" s="61">
        <f>'35'!J53</f>
        <v>0</v>
      </c>
    </row>
    <row r="539" spans="2:12" x14ac:dyDescent="0.2">
      <c r="B539" s="37" t="str">
        <f>'35'!A54</f>
        <v>73A</v>
      </c>
      <c r="C539" s="37"/>
      <c r="D539" s="50" t="str">
        <f>'35'!B54</f>
        <v>DFID</v>
      </c>
      <c r="E539" s="50" t="str">
        <f>'35'!C54</f>
        <v>Access Transport Coordinator</v>
      </c>
      <c r="F539" s="56"/>
      <c r="G539" s="61">
        <f>'35'!E54</f>
        <v>102100</v>
      </c>
      <c r="H539" s="61">
        <f>'35'!F54</f>
        <v>0</v>
      </c>
      <c r="I539" s="61">
        <f>'35'!G54</f>
        <v>20500</v>
      </c>
      <c r="J539" s="61">
        <f>'35'!H54</f>
        <v>0</v>
      </c>
      <c r="K539" s="61">
        <f>'35'!I54</f>
        <v>0</v>
      </c>
      <c r="L539" s="61">
        <f>'35'!J54</f>
        <v>0</v>
      </c>
    </row>
    <row r="540" spans="2:12" x14ac:dyDescent="0.2">
      <c r="B540" s="37" t="str">
        <f>'35'!A55</f>
        <v>74A</v>
      </c>
      <c r="C540" s="37"/>
      <c r="D540" s="50" t="str">
        <f>'35'!B55</f>
        <v>DFID</v>
      </c>
      <c r="E540" s="50" t="str">
        <f>'35'!C55</f>
        <v>Road Refurbishing Project</v>
      </c>
      <c r="F540" s="56"/>
      <c r="G540" s="61">
        <f>'35'!E55</f>
        <v>92200</v>
      </c>
      <c r="H540" s="61">
        <f>'35'!F55</f>
        <v>0</v>
      </c>
      <c r="I540" s="61">
        <f>'35'!G55</f>
        <v>0</v>
      </c>
      <c r="J540" s="61">
        <f>'35'!H55</f>
        <v>0</v>
      </c>
      <c r="K540" s="61">
        <f>'35'!I55</f>
        <v>0</v>
      </c>
      <c r="L540" s="61">
        <f>'35'!J55</f>
        <v>0</v>
      </c>
    </row>
    <row r="541" spans="2:12" x14ac:dyDescent="0.2">
      <c r="B541" s="37" t="str">
        <f>'35'!A56</f>
        <v>76A</v>
      </c>
      <c r="C541" s="37"/>
      <c r="D541" s="50" t="str">
        <f>'35'!B56</f>
        <v>DFID</v>
      </c>
      <c r="E541" s="50" t="str">
        <f>'35'!C56</f>
        <v>Support to Public Works Strategic Development</v>
      </c>
      <c r="F541" s="56"/>
      <c r="G541" s="61">
        <f>'35'!E56</f>
        <v>0</v>
      </c>
      <c r="H541" s="61">
        <f>'35'!F56</f>
        <v>0</v>
      </c>
      <c r="I541" s="61">
        <f>'35'!G56</f>
        <v>441500</v>
      </c>
      <c r="J541" s="61">
        <f>'35'!H56</f>
        <v>274300</v>
      </c>
      <c r="K541" s="61">
        <f>'35'!I56</f>
        <v>0</v>
      </c>
      <c r="L541" s="61">
        <f>'35'!J56</f>
        <v>0</v>
      </c>
    </row>
    <row r="542" spans="2:12" x14ac:dyDescent="0.2">
      <c r="B542" s="37" t="str">
        <f>'35'!A57</f>
        <v>78A</v>
      </c>
      <c r="C542" s="37"/>
      <c r="D542" s="50" t="str">
        <f>'35'!B57</f>
        <v>DFID</v>
      </c>
      <c r="E542" s="50" t="str">
        <f>'35'!C57</f>
        <v>Aeronautical Project</v>
      </c>
      <c r="F542" s="56"/>
      <c r="G542" s="61">
        <f>'35'!E57</f>
        <v>775400</v>
      </c>
      <c r="H542" s="61">
        <f>'35'!F57</f>
        <v>0</v>
      </c>
      <c r="I542" s="61">
        <f>'35'!G57</f>
        <v>0</v>
      </c>
      <c r="J542" s="61">
        <f>'35'!H57</f>
        <v>0</v>
      </c>
      <c r="K542" s="61">
        <f>'35'!I57</f>
        <v>0</v>
      </c>
      <c r="L542" s="61">
        <f>'35'!J57</f>
        <v>0</v>
      </c>
    </row>
    <row r="543" spans="2:12" ht="34.5" customHeight="1" x14ac:dyDescent="0.2">
      <c r="B543" s="37" t="str">
        <f>'35'!A58</f>
        <v>90A</v>
      </c>
      <c r="C543" s="37"/>
      <c r="D543" s="50" t="str">
        <f>'35'!B58</f>
        <v>DFID</v>
      </c>
      <c r="E543" s="50" t="str">
        <f>'35'!C58</f>
        <v>Water Supply Infrastructure Upgrade</v>
      </c>
      <c r="F543" s="56"/>
      <c r="G543" s="61">
        <f>'35'!E58</f>
        <v>0</v>
      </c>
      <c r="H543" s="61">
        <f>'35'!F58</f>
        <v>0</v>
      </c>
      <c r="I543" s="61">
        <f>'35'!G58</f>
        <v>820000</v>
      </c>
      <c r="J543" s="61">
        <f>'35'!H58</f>
        <v>725100</v>
      </c>
      <c r="K543" s="61">
        <f>'35'!I58</f>
        <v>0</v>
      </c>
      <c r="L543" s="61">
        <f>'35'!J58</f>
        <v>0</v>
      </c>
    </row>
    <row r="544" spans="2:12" x14ac:dyDescent="0.2">
      <c r="B544" s="37" t="str">
        <f>'35'!A59</f>
        <v>92A</v>
      </c>
      <c r="C544" s="37"/>
      <c r="D544" s="50" t="str">
        <f>'35'!B59</f>
        <v>DFID</v>
      </c>
      <c r="E544" s="50" t="str">
        <f>'35'!C59</f>
        <v xml:space="preserve">Liquid Waste Management </v>
      </c>
      <c r="F544" s="56"/>
      <c r="G544" s="61">
        <f>'35'!E59</f>
        <v>0</v>
      </c>
      <c r="H544" s="61">
        <f>'35'!F59</f>
        <v>0</v>
      </c>
      <c r="I544" s="61">
        <f>'35'!G59</f>
        <v>580000</v>
      </c>
      <c r="J544" s="61">
        <f>'35'!H59</f>
        <v>1282500</v>
      </c>
      <c r="K544" s="61">
        <f>'35'!I59</f>
        <v>1113500</v>
      </c>
      <c r="L544" s="61">
        <f>'35'!J59</f>
        <v>0</v>
      </c>
    </row>
    <row r="545" spans="2:12" x14ac:dyDescent="0.2">
      <c r="B545" s="37" t="str">
        <f>'35'!A60</f>
        <v>98A</v>
      </c>
      <c r="C545" s="37"/>
      <c r="D545" s="50" t="str">
        <f>'35'!B60</f>
        <v>DFID</v>
      </c>
      <c r="E545" s="50" t="str">
        <f>'35'!C60</f>
        <v>Sea Defences</v>
      </c>
      <c r="F545" s="56"/>
      <c r="G545" s="61">
        <f>'35'!E60</f>
        <v>0</v>
      </c>
      <c r="H545" s="61">
        <f>'35'!F60</f>
        <v>0</v>
      </c>
      <c r="I545" s="61">
        <f>'35'!G60</f>
        <v>0</v>
      </c>
      <c r="J545" s="61">
        <f>'35'!H60</f>
        <v>1113500</v>
      </c>
      <c r="K545" s="61">
        <f>'35'!I60</f>
        <v>0</v>
      </c>
      <c r="L545" s="61">
        <f>'35'!J60</f>
        <v>0</v>
      </c>
    </row>
    <row r="546" spans="2:12" x14ac:dyDescent="0.2">
      <c r="B546" s="37" t="str">
        <f>'35'!A61</f>
        <v>79A</v>
      </c>
      <c r="C546" s="37"/>
      <c r="D546" s="50" t="str">
        <f>'35'!B61</f>
        <v>EU</v>
      </c>
      <c r="E546" s="50" t="str">
        <f>'35'!C61</f>
        <v>Energy</v>
      </c>
      <c r="F546" s="56"/>
      <c r="G546" s="61">
        <f>'35'!E61</f>
        <v>0</v>
      </c>
      <c r="H546" s="61">
        <f>'35'!F61</f>
        <v>3000000</v>
      </c>
      <c r="I546" s="61">
        <f>'35'!G61</f>
        <v>3000000</v>
      </c>
      <c r="J546" s="61">
        <f>'35'!H61</f>
        <v>3000000</v>
      </c>
      <c r="K546" s="61">
        <f>'35'!I61</f>
        <v>0</v>
      </c>
      <c r="L546" s="61">
        <f>'35'!J61</f>
        <v>0</v>
      </c>
    </row>
    <row r="547" spans="2:12" x14ac:dyDescent="0.2">
      <c r="B547" s="37" t="str">
        <f>'35'!A62</f>
        <v>80A</v>
      </c>
      <c r="C547" s="37"/>
      <c r="D547" s="50" t="str">
        <f>'35'!B62</f>
        <v>EU</v>
      </c>
      <c r="E547" s="50" t="str">
        <f>'35'!C62</f>
        <v>Ferry Terminal Upgrade</v>
      </c>
      <c r="F547" s="56"/>
      <c r="G547" s="61">
        <f>'35'!E62</f>
        <v>0</v>
      </c>
      <c r="H547" s="61">
        <f>'35'!F62</f>
        <v>175000</v>
      </c>
      <c r="I547" s="61">
        <f>'35'!G62</f>
        <v>175000</v>
      </c>
      <c r="J547" s="61">
        <f>'35'!H62</f>
        <v>30000</v>
      </c>
      <c r="K547" s="61">
        <f>'35'!I62</f>
        <v>0</v>
      </c>
      <c r="L547" s="61">
        <f>'35'!J62</f>
        <v>0</v>
      </c>
    </row>
    <row r="548" spans="2:12" x14ac:dyDescent="0.2">
      <c r="B548" s="37" t="str">
        <f>'35'!A63</f>
        <v>88A</v>
      </c>
      <c r="C548" s="37"/>
      <c r="D548" s="50" t="str">
        <f>'35'!B63</f>
        <v>DFID</v>
      </c>
      <c r="E548" s="50" t="str">
        <f>'35'!C63</f>
        <v>Roads &amp; Bridges</v>
      </c>
      <c r="F548" s="56"/>
      <c r="G548" s="61">
        <f>'35'!E63</f>
        <v>0</v>
      </c>
      <c r="H548" s="61">
        <f>'35'!F63</f>
        <v>0</v>
      </c>
      <c r="I548" s="61">
        <f>'35'!G63</f>
        <v>1763300</v>
      </c>
      <c r="J548" s="61">
        <f>'35'!H63</f>
        <v>1043800</v>
      </c>
      <c r="K548" s="61">
        <f>'35'!I63</f>
        <v>756700</v>
      </c>
      <c r="L548" s="61">
        <f>'35'!J63</f>
        <v>0</v>
      </c>
    </row>
    <row r="549" spans="2:12" x14ac:dyDescent="0.2">
      <c r="B549" s="37" t="str">
        <f>'35'!A64</f>
        <v>89A</v>
      </c>
      <c r="C549" s="37"/>
      <c r="D549" s="50" t="str">
        <f>'35'!B64</f>
        <v>DFID</v>
      </c>
      <c r="E549" s="50" t="str">
        <f>'35'!C64</f>
        <v>Electricity Distribution Network Upgrade</v>
      </c>
      <c r="F549" s="56"/>
      <c r="G549" s="61">
        <f>'35'!E64</f>
        <v>0</v>
      </c>
      <c r="H549" s="61">
        <f>'35'!F64</f>
        <v>0</v>
      </c>
      <c r="I549" s="61">
        <f>'35'!G64</f>
        <v>627000</v>
      </c>
      <c r="J549" s="61">
        <f>'35'!H64</f>
        <v>819700</v>
      </c>
      <c r="K549" s="61">
        <f>'35'!I64</f>
        <v>97000</v>
      </c>
      <c r="L549" s="61">
        <f>'35'!J64</f>
        <v>0</v>
      </c>
    </row>
    <row r="550" spans="2:12" x14ac:dyDescent="0.2">
      <c r="B550" s="78" t="str">
        <f>'35'!A65</f>
        <v>TOTAL CAPITAL EXPENDITURE</v>
      </c>
      <c r="C550" s="95"/>
      <c r="D550" s="49"/>
      <c r="E550" s="49"/>
      <c r="F550" s="96"/>
      <c r="G550" s="97">
        <f t="shared" ref="G550:L550" si="41">SUM(G538:G549)</f>
        <v>2782000</v>
      </c>
      <c r="H550" s="97">
        <f t="shared" si="41"/>
        <v>7275000</v>
      </c>
      <c r="I550" s="97">
        <f t="shared" si="41"/>
        <v>14433400</v>
      </c>
      <c r="J550" s="97">
        <f t="shared" si="41"/>
        <v>13088900</v>
      </c>
      <c r="K550" s="97">
        <f t="shared" si="41"/>
        <v>1967200</v>
      </c>
      <c r="L550" s="97">
        <f t="shared" si="41"/>
        <v>0</v>
      </c>
    </row>
    <row r="551" spans="2:12" x14ac:dyDescent="0.2">
      <c r="G551" s="81"/>
    </row>
    <row r="552" spans="2:12" x14ac:dyDescent="0.2">
      <c r="B552" s="49" t="s">
        <v>252</v>
      </c>
    </row>
    <row r="553" spans="2:12" x14ac:dyDescent="0.2">
      <c r="B553" s="37" t="str">
        <f>'40'!A56</f>
        <v>06A</v>
      </c>
      <c r="C553" s="37"/>
      <c r="D553" s="50" t="str">
        <f>'40'!B56</f>
        <v>UNICEF</v>
      </c>
      <c r="E553" s="50" t="str">
        <f>'40'!C56</f>
        <v>Early Childhood Devlopment</v>
      </c>
      <c r="F553" s="56"/>
      <c r="G553" s="61">
        <f>'40'!E56</f>
        <v>0</v>
      </c>
      <c r="H553" s="61">
        <f>'40'!F56</f>
        <v>0</v>
      </c>
      <c r="I553" s="61">
        <f>'40'!G56</f>
        <v>20700</v>
      </c>
      <c r="J553" s="61">
        <f>'40'!H56</f>
        <v>0</v>
      </c>
      <c r="K553" s="61">
        <f>'40'!I56</f>
        <v>0</v>
      </c>
      <c r="L553" s="61">
        <f>'40'!J56</f>
        <v>0</v>
      </c>
    </row>
    <row r="554" spans="2:12" x14ac:dyDescent="0.2">
      <c r="B554" s="37" t="str">
        <f>'40'!A57</f>
        <v>09A</v>
      </c>
      <c r="C554" s="37"/>
      <c r="D554" s="50" t="str">
        <f>'40'!B57</f>
        <v>CDB</v>
      </c>
      <c r="E554" s="50" t="str">
        <f>'40'!C57</f>
        <v xml:space="preserve"> Teacher Enhancement Project</v>
      </c>
      <c r="F554" s="56"/>
      <c r="G554" s="61">
        <f>'40'!E57</f>
        <v>0</v>
      </c>
      <c r="H554" s="61">
        <f>'40'!F57</f>
        <v>0</v>
      </c>
      <c r="I554" s="61">
        <f>'40'!G57</f>
        <v>117100</v>
      </c>
      <c r="J554" s="61">
        <f>'40'!H57</f>
        <v>0</v>
      </c>
      <c r="K554" s="61">
        <f>'40'!I57</f>
        <v>0</v>
      </c>
      <c r="L554" s="61">
        <f>'40'!J57</f>
        <v>0</v>
      </c>
    </row>
    <row r="555" spans="2:12" x14ac:dyDescent="0.2">
      <c r="B555" s="37" t="str">
        <f>'40'!A58</f>
        <v>87A</v>
      </c>
      <c r="C555" s="37"/>
      <c r="D555" s="50" t="str">
        <f>'40'!B58</f>
        <v>GOM</v>
      </c>
      <c r="E555" s="50" t="str">
        <f>'40'!C58</f>
        <v>Montserrat Secondary School (MSS) Rehabilitation</v>
      </c>
      <c r="F555" s="56"/>
      <c r="G555" s="61">
        <f>'40'!E58</f>
        <v>0</v>
      </c>
      <c r="H555" s="61">
        <f>'40'!F58</f>
        <v>0</v>
      </c>
      <c r="I555" s="61">
        <f>'40'!G58</f>
        <v>763900</v>
      </c>
      <c r="J555" s="61">
        <f>'40'!H58</f>
        <v>0</v>
      </c>
      <c r="K555" s="61">
        <f>'40'!I58</f>
        <v>0</v>
      </c>
      <c r="L555" s="61">
        <f>'40'!J58</f>
        <v>0</v>
      </c>
    </row>
    <row r="556" spans="2:12" x14ac:dyDescent="0.2">
      <c r="B556" s="78" t="str">
        <f>'40'!A59</f>
        <v>TOTAL CAPITAL EXPENDITURE</v>
      </c>
      <c r="C556" s="95"/>
      <c r="D556" s="49"/>
      <c r="E556" s="49"/>
      <c r="F556" s="96"/>
      <c r="G556" s="97">
        <f t="shared" ref="G556:H556" si="42">SUM(G553:G555)</f>
        <v>0</v>
      </c>
      <c r="H556" s="97">
        <f t="shared" si="42"/>
        <v>0</v>
      </c>
      <c r="I556" s="97">
        <f>SUM(I553:I555)</f>
        <v>901700</v>
      </c>
      <c r="J556" s="97">
        <f t="shared" ref="J556:L556" si="43">SUM(J553:J555)</f>
        <v>0</v>
      </c>
      <c r="K556" s="97">
        <f t="shared" si="43"/>
        <v>0</v>
      </c>
      <c r="L556" s="97">
        <f t="shared" si="43"/>
        <v>0</v>
      </c>
    </row>
    <row r="557" spans="2:12" x14ac:dyDescent="0.2">
      <c r="B557" s="78"/>
      <c r="C557" s="95"/>
      <c r="D557" s="49"/>
      <c r="E557" s="49"/>
      <c r="F557" s="96"/>
      <c r="G557" s="97"/>
      <c r="H557" s="97"/>
      <c r="I557" s="97"/>
      <c r="J557" s="97"/>
      <c r="K557" s="97"/>
      <c r="L557" s="97"/>
    </row>
    <row r="558" spans="2:12" x14ac:dyDescent="0.2">
      <c r="B558" s="49" t="s">
        <v>253</v>
      </c>
      <c r="F558" s="56"/>
      <c r="G558" s="61"/>
      <c r="H558" s="61"/>
      <c r="I558" s="61"/>
      <c r="J558" s="61"/>
      <c r="K558" s="61"/>
      <c r="L558" s="61"/>
    </row>
    <row r="559" spans="2:12" x14ac:dyDescent="0.2">
      <c r="B559" s="37" t="str">
        <f>'45'!A52</f>
        <v>44A</v>
      </c>
      <c r="C559" s="37"/>
      <c r="D559" s="50" t="str">
        <f>'45'!B52</f>
        <v>UNICEF</v>
      </c>
      <c r="E559" s="50" t="str">
        <f>'45'!C52</f>
        <v>Child Safeguarding and Protection</v>
      </c>
      <c r="F559" s="56"/>
      <c r="G559" s="61">
        <f>'45'!E52</f>
        <v>0</v>
      </c>
      <c r="H559" s="61">
        <f>'45'!F52</f>
        <v>0</v>
      </c>
      <c r="I559" s="61">
        <f>'45'!G52</f>
        <v>21300</v>
      </c>
      <c r="J559" s="61">
        <f>'45'!H52</f>
        <v>22000</v>
      </c>
      <c r="K559" s="61">
        <f>'45'!I52</f>
        <v>0</v>
      </c>
      <c r="L559" s="61">
        <f>'45'!J52</f>
        <v>0</v>
      </c>
    </row>
    <row r="560" spans="2:12" x14ac:dyDescent="0.2">
      <c r="B560" s="37" t="str">
        <f>'45'!A53</f>
        <v>91A</v>
      </c>
      <c r="C560" s="37"/>
      <c r="D560" s="50" t="str">
        <f>'45'!B53</f>
        <v>DFID</v>
      </c>
      <c r="E560" s="50" t="str">
        <f>'45'!C53</f>
        <v>Solid Waste Management</v>
      </c>
      <c r="F560" s="56"/>
      <c r="G560" s="61">
        <f>'45'!E53</f>
        <v>0</v>
      </c>
      <c r="H560" s="61">
        <f>'45'!F53</f>
        <v>0</v>
      </c>
      <c r="I560" s="61">
        <f>'45'!G53</f>
        <v>0</v>
      </c>
      <c r="J560" s="61">
        <f>'45'!H53</f>
        <v>371200</v>
      </c>
      <c r="K560" s="61">
        <f>'45'!I53</f>
        <v>0</v>
      </c>
      <c r="L560" s="61">
        <f>'45'!J53</f>
        <v>0</v>
      </c>
    </row>
    <row r="561" spans="1:12" x14ac:dyDescent="0.2">
      <c r="B561" s="78" t="str">
        <f>'45'!A54</f>
        <v>TOTAL CAPITAL EXPENDITURE</v>
      </c>
      <c r="C561" s="95"/>
      <c r="D561" s="49"/>
      <c r="E561" s="49"/>
      <c r="F561" s="96"/>
      <c r="G561" s="97">
        <f>'45'!E54</f>
        <v>0</v>
      </c>
      <c r="H561" s="97">
        <f>'45'!F54</f>
        <v>0</v>
      </c>
      <c r="I561" s="97">
        <f>'45'!G54</f>
        <v>21300</v>
      </c>
      <c r="J561" s="97">
        <f>'45'!H54</f>
        <v>393200</v>
      </c>
      <c r="K561" s="97">
        <f>'45'!I54</f>
        <v>0</v>
      </c>
      <c r="L561" s="97">
        <f>'45'!J54</f>
        <v>0</v>
      </c>
    </row>
    <row r="563" spans="1:12" x14ac:dyDescent="0.2">
      <c r="B563" s="78" t="s">
        <v>69</v>
      </c>
      <c r="C563" s="95"/>
      <c r="D563" s="49"/>
      <c r="E563" s="49"/>
      <c r="F563" s="96"/>
      <c r="G563" s="97">
        <f t="shared" ref="G563:L563" si="44">G483+G494+G501+G524+G535+G550+G556+G561</f>
        <v>33296926.680000003</v>
      </c>
      <c r="H563" s="97">
        <f t="shared" si="44"/>
        <v>43421800</v>
      </c>
      <c r="I563" s="97">
        <f t="shared" si="44"/>
        <v>57936239</v>
      </c>
      <c r="J563" s="97">
        <f t="shared" si="44"/>
        <v>38767500</v>
      </c>
      <c r="K563" s="97">
        <f t="shared" si="44"/>
        <v>4115900</v>
      </c>
      <c r="L563" s="97">
        <f t="shared" si="44"/>
        <v>0</v>
      </c>
    </row>
    <row r="565" spans="1:12" x14ac:dyDescent="0.2">
      <c r="A565" s="73"/>
    </row>
  </sheetData>
  <mergeCells count="12">
    <mergeCell ref="D100:L100"/>
    <mergeCell ref="D120:L120"/>
    <mergeCell ref="D139:L139"/>
    <mergeCell ref="D207:L207"/>
    <mergeCell ref="D348:L348"/>
    <mergeCell ref="D476:L476"/>
    <mergeCell ref="E2:L2"/>
    <mergeCell ref="E24:L24"/>
    <mergeCell ref="E41:L41"/>
    <mergeCell ref="E42:L42"/>
    <mergeCell ref="D61:L61"/>
    <mergeCell ref="D80:L80"/>
  </mergeCells>
  <printOptions horizontalCentered="1"/>
  <pageMargins left="0.18" right="0.18" top="0.31" bottom="0.28999999999999998" header="0.3" footer="0.3"/>
  <pageSetup scale="84" fitToHeight="0" orientation="portrait" r:id="rId1"/>
  <rowBreaks count="10" manualBreakCount="10">
    <brk id="60" min="1" max="11" man="1"/>
    <brk id="99" min="1" max="11" man="1"/>
    <brk id="138" min="1" max="11" man="1"/>
    <brk id="206" min="1" max="11" man="1"/>
    <brk id="274" min="1" max="11" man="1"/>
    <brk id="346" min="1" max="11" man="1"/>
    <brk id="409" min="1" max="11" man="1"/>
    <brk id="428" min="1" max="11" man="1"/>
    <brk id="475" min="1" max="11" man="1"/>
    <brk id="525" min="1"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95"/>
  <sheetViews>
    <sheetView view="pageBreakPreview" zoomScaleNormal="100" zoomScaleSheetLayoutView="100" workbookViewId="0">
      <selection activeCell="B1" sqref="B1"/>
    </sheetView>
  </sheetViews>
  <sheetFormatPr defaultColWidth="9.140625" defaultRowHeight="14.25" x14ac:dyDescent="0.2"/>
  <cols>
    <col min="1" max="1" width="8.5703125" style="100" customWidth="1"/>
    <col min="2" max="2" width="7.5703125" style="100" customWidth="1"/>
    <col min="3" max="3" width="14" style="100" customWidth="1"/>
    <col min="4" max="4" width="13.5703125" style="100" customWidth="1"/>
    <col min="5" max="5" width="9.85546875" style="100" customWidth="1"/>
    <col min="6" max="6" width="9.85546875" style="249" customWidth="1"/>
    <col min="7" max="10" width="9.85546875" style="100" customWidth="1"/>
    <col min="11" max="16384" width="9.140625" style="100"/>
  </cols>
  <sheetData>
    <row r="1" spans="1:10" x14ac:dyDescent="0.2">
      <c r="A1" s="98" t="s">
        <v>254</v>
      </c>
      <c r="B1" s="98"/>
      <c r="C1" s="99"/>
      <c r="D1" s="99"/>
      <c r="E1" s="99"/>
      <c r="F1" s="99"/>
      <c r="G1" s="99"/>
      <c r="H1" s="99"/>
      <c r="I1" s="99"/>
      <c r="J1" s="99"/>
    </row>
    <row r="2" spans="1:10" x14ac:dyDescent="0.2">
      <c r="A2" s="98" t="s">
        <v>819</v>
      </c>
      <c r="B2" s="98"/>
      <c r="C2" s="101"/>
      <c r="D2" s="101"/>
      <c r="E2" s="101"/>
      <c r="F2" s="101"/>
      <c r="G2" s="101"/>
      <c r="H2" s="101"/>
      <c r="I2" s="101"/>
      <c r="J2" s="101"/>
    </row>
    <row r="3" spans="1:10" ht="15" thickBot="1" x14ac:dyDescent="0.25">
      <c r="A3" s="250"/>
      <c r="B3" s="251"/>
      <c r="C3" s="251"/>
      <c r="D3" s="251"/>
      <c r="E3" s="251"/>
      <c r="F3" s="251"/>
      <c r="G3" s="251"/>
      <c r="H3" s="251"/>
      <c r="I3" s="251"/>
      <c r="J3" s="252"/>
    </row>
    <row r="4" spans="1:10" x14ac:dyDescent="0.2">
      <c r="A4" s="253" t="s">
        <v>256</v>
      </c>
      <c r="B4" s="254" t="s">
        <v>257</v>
      </c>
      <c r="C4" s="254"/>
      <c r="D4" s="254"/>
      <c r="E4" s="254"/>
      <c r="F4" s="254"/>
      <c r="G4" s="255"/>
      <c r="H4" s="255"/>
      <c r="I4" s="255"/>
      <c r="J4" s="256"/>
    </row>
    <row r="5" spans="1:10" x14ac:dyDescent="0.2">
      <c r="A5" s="109"/>
      <c r="B5" s="106" t="s">
        <v>820</v>
      </c>
      <c r="C5" s="110"/>
      <c r="D5" s="110"/>
      <c r="E5" s="106"/>
      <c r="F5" s="106"/>
      <c r="G5" s="111"/>
      <c r="H5" s="111"/>
      <c r="I5" s="111"/>
      <c r="J5" s="112">
        <f>H61</f>
        <v>16456900</v>
      </c>
    </row>
    <row r="6" spans="1:10" x14ac:dyDescent="0.2">
      <c r="A6" s="115" t="s">
        <v>260</v>
      </c>
      <c r="B6" s="116" t="s">
        <v>261</v>
      </c>
      <c r="C6" s="116"/>
      <c r="D6" s="116" t="s">
        <v>821</v>
      </c>
      <c r="E6" s="116"/>
      <c r="F6" s="116"/>
      <c r="G6" s="117"/>
      <c r="H6" s="117"/>
      <c r="I6" s="117"/>
      <c r="J6" s="118"/>
    </row>
    <row r="7" spans="1:10" ht="15" thickBot="1" x14ac:dyDescent="0.25">
      <c r="A7" s="119" t="s">
        <v>263</v>
      </c>
      <c r="B7" s="120" t="s">
        <v>822</v>
      </c>
      <c r="C7" s="120"/>
      <c r="D7" s="121"/>
      <c r="E7" s="121"/>
      <c r="F7" s="121"/>
      <c r="G7" s="123"/>
      <c r="H7" s="123"/>
      <c r="I7" s="123"/>
      <c r="J7" s="124"/>
    </row>
    <row r="8" spans="1:10" ht="15" x14ac:dyDescent="0.2">
      <c r="A8" s="280"/>
      <c r="B8" s="280"/>
      <c r="C8" s="280"/>
      <c r="D8" s="280"/>
      <c r="E8" s="280"/>
      <c r="F8" s="280"/>
      <c r="G8" s="280"/>
      <c r="H8" s="280"/>
      <c r="I8" s="280"/>
      <c r="J8" s="280"/>
    </row>
    <row r="9" spans="1:10" ht="14.25" customHeight="1" x14ac:dyDescent="0.2">
      <c r="A9" s="128" t="s">
        <v>265</v>
      </c>
      <c r="B9" s="128"/>
      <c r="C9" s="128"/>
      <c r="D9" s="128"/>
      <c r="E9" s="128"/>
      <c r="F9" s="128"/>
      <c r="G9" s="128"/>
      <c r="H9" s="128"/>
      <c r="I9" s="128"/>
      <c r="J9" s="128"/>
    </row>
    <row r="10" spans="1:10" s="367" customFormat="1" x14ac:dyDescent="0.2">
      <c r="A10" s="188" t="s">
        <v>823</v>
      </c>
      <c r="B10" s="188"/>
      <c r="C10" s="188"/>
      <c r="D10" s="188"/>
      <c r="E10" s="188"/>
      <c r="F10" s="188"/>
      <c r="G10" s="188"/>
      <c r="H10" s="188"/>
      <c r="I10" s="188"/>
      <c r="J10" s="188"/>
    </row>
    <row r="11" spans="1:10" s="367" customFormat="1" ht="15" customHeight="1" x14ac:dyDescent="0.2">
      <c r="A11" s="188" t="s">
        <v>824</v>
      </c>
      <c r="B11" s="188"/>
      <c r="C11" s="188"/>
      <c r="D11" s="188"/>
      <c r="E11" s="188"/>
      <c r="F11" s="188"/>
      <c r="G11" s="188"/>
      <c r="H11" s="188"/>
      <c r="I11" s="188"/>
      <c r="J11" s="188"/>
    </row>
    <row r="12" spans="1:10" s="367" customFormat="1" ht="15.75" customHeight="1" x14ac:dyDescent="0.2">
      <c r="A12" s="188" t="s">
        <v>825</v>
      </c>
      <c r="B12" s="188"/>
      <c r="C12" s="188"/>
      <c r="D12" s="188"/>
      <c r="E12" s="188"/>
      <c r="F12" s="188"/>
      <c r="G12" s="188"/>
      <c r="H12" s="188"/>
      <c r="I12" s="188"/>
      <c r="J12" s="188"/>
    </row>
    <row r="13" spans="1:10" x14ac:dyDescent="0.2">
      <c r="A13" s="128" t="s">
        <v>267</v>
      </c>
      <c r="B13" s="128"/>
      <c r="C13" s="128"/>
      <c r="D13" s="128"/>
      <c r="E13" s="128"/>
      <c r="F13" s="128"/>
      <c r="G13" s="128"/>
      <c r="H13" s="128"/>
      <c r="I13" s="128"/>
      <c r="J13" s="128"/>
    </row>
    <row r="14" spans="1:10" x14ac:dyDescent="0.2">
      <c r="A14" s="317" t="s">
        <v>826</v>
      </c>
      <c r="B14" s="317"/>
      <c r="C14" s="317"/>
      <c r="D14" s="317"/>
      <c r="E14" s="317"/>
      <c r="F14" s="317"/>
      <c r="G14" s="317"/>
      <c r="H14" s="317"/>
      <c r="I14" s="317"/>
      <c r="J14" s="317"/>
    </row>
    <row r="15" spans="1:10" x14ac:dyDescent="0.2">
      <c r="A15" s="317" t="s">
        <v>827</v>
      </c>
      <c r="B15" s="317"/>
      <c r="C15" s="317"/>
      <c r="D15" s="317"/>
      <c r="E15" s="317"/>
      <c r="F15" s="317"/>
      <c r="G15" s="317"/>
      <c r="H15" s="317"/>
      <c r="I15" s="317"/>
      <c r="J15" s="317"/>
    </row>
    <row r="16" spans="1:10" x14ac:dyDescent="0.2">
      <c r="A16" s="317" t="s">
        <v>828</v>
      </c>
      <c r="B16" s="317"/>
      <c r="C16" s="317"/>
      <c r="D16" s="317"/>
      <c r="E16" s="317"/>
      <c r="F16" s="317"/>
      <c r="G16" s="317"/>
      <c r="H16" s="317"/>
      <c r="I16" s="317"/>
      <c r="J16" s="317"/>
    </row>
    <row r="17" spans="1:10" x14ac:dyDescent="0.2">
      <c r="A17" s="128" t="s">
        <v>269</v>
      </c>
      <c r="B17" s="128"/>
      <c r="C17" s="128"/>
      <c r="D17" s="128"/>
      <c r="E17" s="128"/>
      <c r="F17" s="128"/>
      <c r="G17" s="128"/>
      <c r="H17" s="128"/>
      <c r="I17" s="128"/>
      <c r="J17" s="128"/>
    </row>
    <row r="18" spans="1:10" x14ac:dyDescent="0.2">
      <c r="A18" s="317" t="s">
        <v>829</v>
      </c>
      <c r="B18" s="317"/>
      <c r="C18" s="317"/>
      <c r="D18" s="317"/>
      <c r="E18" s="317"/>
      <c r="F18" s="317"/>
      <c r="G18" s="317"/>
      <c r="H18" s="317"/>
      <c r="I18" s="317"/>
      <c r="J18" s="317"/>
    </row>
    <row r="19" spans="1:10" x14ac:dyDescent="0.2">
      <c r="A19" s="128" t="s">
        <v>272</v>
      </c>
      <c r="B19" s="128"/>
      <c r="C19" s="128"/>
      <c r="D19" s="128"/>
      <c r="E19" s="128"/>
      <c r="F19" s="128"/>
      <c r="G19" s="128"/>
      <c r="H19" s="128"/>
      <c r="I19" s="128"/>
      <c r="J19" s="128"/>
    </row>
    <row r="20" spans="1:10" x14ac:dyDescent="0.2">
      <c r="A20" s="317" t="s">
        <v>830</v>
      </c>
      <c r="B20" s="317"/>
      <c r="C20" s="317"/>
      <c r="D20" s="317"/>
      <c r="E20" s="317"/>
      <c r="F20" s="317"/>
      <c r="G20" s="317"/>
      <c r="H20" s="317"/>
      <c r="I20" s="317"/>
      <c r="J20" s="317"/>
    </row>
    <row r="21" spans="1:10" x14ac:dyDescent="0.2">
      <c r="A21" s="373"/>
      <c r="B21" s="373"/>
      <c r="C21" s="373"/>
      <c r="D21" s="373"/>
      <c r="E21" s="373"/>
      <c r="F21" s="373"/>
      <c r="G21" s="373"/>
      <c r="H21" s="373"/>
      <c r="I21" s="373"/>
      <c r="J21" s="373"/>
    </row>
    <row r="22" spans="1:10" x14ac:dyDescent="0.2">
      <c r="A22" s="128" t="s">
        <v>275</v>
      </c>
      <c r="B22" s="128"/>
      <c r="C22" s="128"/>
      <c r="D22" s="128"/>
      <c r="E22" s="128"/>
      <c r="F22" s="128"/>
      <c r="G22" s="128"/>
      <c r="H22" s="128"/>
      <c r="I22" s="128"/>
      <c r="J22" s="128"/>
    </row>
    <row r="23" spans="1:10" ht="33.75" x14ac:dyDescent="0.2">
      <c r="A23" s="130" t="s">
        <v>243</v>
      </c>
      <c r="B23" s="131" t="s">
        <v>242</v>
      </c>
      <c r="C23" s="131"/>
      <c r="D23" s="131"/>
      <c r="E23" s="132" t="str">
        <f>Summary!$G$25</f>
        <v>Actuals           2014-2015</v>
      </c>
      <c r="F23" s="132" t="str">
        <f>Summary!$H$25</f>
        <v>Approved Estimates          2015-2016</v>
      </c>
      <c r="G23" s="132" t="str">
        <f>Summary!$I$25</f>
        <v>Revised Estimates                 2015-2016</v>
      </c>
      <c r="H23" s="132" t="str">
        <f>Summary!$J$25</f>
        <v>Budget Estimates      2016-2017</v>
      </c>
      <c r="I23" s="132" t="str">
        <f>Summary!$K$25</f>
        <v>Forward Estimates     2017-2018</v>
      </c>
      <c r="J23" s="132" t="str">
        <f>Summary!$L$25</f>
        <v>Forward Estimates     2018-2019</v>
      </c>
    </row>
    <row r="24" spans="1:10" x14ac:dyDescent="0.2">
      <c r="A24" s="128" t="s">
        <v>276</v>
      </c>
      <c r="B24" s="128"/>
      <c r="C24" s="128"/>
      <c r="D24" s="128"/>
      <c r="E24" s="128"/>
      <c r="F24" s="128"/>
      <c r="G24" s="128"/>
      <c r="H24" s="128"/>
      <c r="I24" s="128"/>
      <c r="J24" s="128"/>
    </row>
    <row r="25" spans="1:10" ht="15" customHeight="1" x14ac:dyDescent="0.2">
      <c r="A25" s="207" t="s">
        <v>831</v>
      </c>
      <c r="B25" s="129" t="s">
        <v>501</v>
      </c>
      <c r="C25" s="101"/>
      <c r="D25" s="101"/>
      <c r="E25" s="211">
        <f t="shared" ref="E25:J25" si="0">E72</f>
        <v>10173.75</v>
      </c>
      <c r="F25" s="211">
        <f t="shared" si="0"/>
        <v>0</v>
      </c>
      <c r="G25" s="211">
        <f t="shared" si="0"/>
        <v>0</v>
      </c>
      <c r="H25" s="210">
        <f t="shared" si="0"/>
        <v>0</v>
      </c>
      <c r="I25" s="211">
        <f t="shared" si="0"/>
        <v>0</v>
      </c>
      <c r="J25" s="211">
        <f t="shared" si="0"/>
        <v>0</v>
      </c>
    </row>
    <row r="26" spans="1:10" ht="15" customHeight="1" x14ac:dyDescent="0.2">
      <c r="A26" s="207" t="s">
        <v>832</v>
      </c>
      <c r="B26" s="323" t="s">
        <v>833</v>
      </c>
      <c r="C26" s="324"/>
      <c r="D26" s="325"/>
      <c r="E26" s="211">
        <f t="shared" ref="E26:J26" si="1">E151</f>
        <v>0</v>
      </c>
      <c r="F26" s="211">
        <f t="shared" si="1"/>
        <v>150000</v>
      </c>
      <c r="G26" s="211">
        <f t="shared" si="1"/>
        <v>192200</v>
      </c>
      <c r="H26" s="210">
        <f t="shared" si="1"/>
        <v>150000</v>
      </c>
      <c r="I26" s="211">
        <f t="shared" si="1"/>
        <v>150000</v>
      </c>
      <c r="J26" s="211">
        <f t="shared" si="1"/>
        <v>150000</v>
      </c>
    </row>
    <row r="27" spans="1:10" ht="15" customHeight="1" x14ac:dyDescent="0.2">
      <c r="A27" s="207" t="s">
        <v>834</v>
      </c>
      <c r="B27" s="129" t="s">
        <v>835</v>
      </c>
      <c r="C27" s="129"/>
      <c r="D27" s="129"/>
      <c r="E27" s="211">
        <f t="shared" ref="E27:J27" si="2">E225</f>
        <v>0</v>
      </c>
      <c r="F27" s="211">
        <f t="shared" si="2"/>
        <v>0</v>
      </c>
      <c r="G27" s="211">
        <f t="shared" si="2"/>
        <v>0</v>
      </c>
      <c r="H27" s="210">
        <f t="shared" si="2"/>
        <v>0</v>
      </c>
      <c r="I27" s="211">
        <f t="shared" si="2"/>
        <v>0</v>
      </c>
      <c r="J27" s="211">
        <f t="shared" si="2"/>
        <v>0</v>
      </c>
    </row>
    <row r="28" spans="1:10" ht="15" customHeight="1" x14ac:dyDescent="0.2">
      <c r="A28" s="207" t="s">
        <v>836</v>
      </c>
      <c r="B28" s="323" t="s">
        <v>837</v>
      </c>
      <c r="C28" s="324"/>
      <c r="D28" s="325"/>
      <c r="E28" s="211">
        <f t="shared" ref="E28:J28" si="3">E285</f>
        <v>0</v>
      </c>
      <c r="F28" s="211">
        <f t="shared" si="3"/>
        <v>0</v>
      </c>
      <c r="G28" s="211">
        <f t="shared" si="3"/>
        <v>0</v>
      </c>
      <c r="H28" s="210">
        <f t="shared" si="3"/>
        <v>0</v>
      </c>
      <c r="I28" s="211">
        <f t="shared" si="3"/>
        <v>0</v>
      </c>
      <c r="J28" s="211">
        <f t="shared" si="3"/>
        <v>0</v>
      </c>
    </row>
    <row r="29" spans="1:10" ht="15" customHeight="1" x14ac:dyDescent="0.2">
      <c r="A29" s="207" t="s">
        <v>838</v>
      </c>
      <c r="B29" s="323" t="s">
        <v>839</v>
      </c>
      <c r="C29" s="324"/>
      <c r="D29" s="325"/>
      <c r="E29" s="211">
        <f t="shared" ref="E29:J29" si="4">E344</f>
        <v>0</v>
      </c>
      <c r="F29" s="211">
        <f t="shared" si="4"/>
        <v>0</v>
      </c>
      <c r="G29" s="211">
        <f t="shared" si="4"/>
        <v>0</v>
      </c>
      <c r="H29" s="210">
        <f t="shared" si="4"/>
        <v>0</v>
      </c>
      <c r="I29" s="211">
        <f t="shared" si="4"/>
        <v>0</v>
      </c>
      <c r="J29" s="211">
        <f t="shared" si="4"/>
        <v>0</v>
      </c>
    </row>
    <row r="30" spans="1:10" x14ac:dyDescent="0.2">
      <c r="A30" s="137" t="s">
        <v>840</v>
      </c>
      <c r="B30" s="137"/>
      <c r="C30" s="137"/>
      <c r="D30" s="137"/>
      <c r="E30" s="138">
        <f t="shared" ref="E30:J30" si="5">SUM(E25:E27)</f>
        <v>10173.75</v>
      </c>
      <c r="F30" s="138">
        <f t="shared" si="5"/>
        <v>150000</v>
      </c>
      <c r="G30" s="138">
        <f t="shared" si="5"/>
        <v>192200</v>
      </c>
      <c r="H30" s="138">
        <f t="shared" si="5"/>
        <v>150000</v>
      </c>
      <c r="I30" s="138">
        <f t="shared" si="5"/>
        <v>150000</v>
      </c>
      <c r="J30" s="138">
        <f t="shared" si="5"/>
        <v>150000</v>
      </c>
    </row>
    <row r="31" spans="1:10" x14ac:dyDescent="0.2">
      <c r="A31" s="129"/>
      <c r="B31" s="129"/>
      <c r="C31" s="129"/>
      <c r="D31" s="129"/>
      <c r="E31" s="129"/>
      <c r="F31" s="129"/>
      <c r="G31" s="129"/>
      <c r="H31" s="129"/>
      <c r="I31" s="129"/>
      <c r="J31" s="129"/>
    </row>
    <row r="32" spans="1:10" x14ac:dyDescent="0.2">
      <c r="A32" s="128" t="s">
        <v>281</v>
      </c>
      <c r="B32" s="128"/>
      <c r="C32" s="128"/>
      <c r="D32" s="128"/>
      <c r="E32" s="128"/>
      <c r="F32" s="128"/>
      <c r="G32" s="128"/>
      <c r="H32" s="128"/>
      <c r="I32" s="128"/>
      <c r="J32" s="128"/>
    </row>
    <row r="33" spans="1:10" ht="15" customHeight="1" x14ac:dyDescent="0.2">
      <c r="A33" s="207" t="s">
        <v>831</v>
      </c>
      <c r="B33" s="129" t="s">
        <v>501</v>
      </c>
      <c r="C33" s="101"/>
      <c r="D33" s="101"/>
      <c r="E33" s="211">
        <f t="shared" ref="E33:J33" si="6">E98+E111</f>
        <v>5275743.28</v>
      </c>
      <c r="F33" s="209">
        <f t="shared" si="6"/>
        <v>11506100</v>
      </c>
      <c r="G33" s="211">
        <f t="shared" si="6"/>
        <v>13368539</v>
      </c>
      <c r="H33" s="210">
        <f t="shared" si="6"/>
        <v>8900800</v>
      </c>
      <c r="I33" s="211">
        <f t="shared" si="6"/>
        <v>4205800</v>
      </c>
      <c r="J33" s="211">
        <f t="shared" si="6"/>
        <v>4210200</v>
      </c>
    </row>
    <row r="34" spans="1:10" ht="15" customHeight="1" x14ac:dyDescent="0.2">
      <c r="A34" s="207" t="s">
        <v>832</v>
      </c>
      <c r="B34" s="323" t="s">
        <v>833</v>
      </c>
      <c r="C34" s="324"/>
      <c r="D34" s="325"/>
      <c r="E34" s="211">
        <f t="shared" ref="E34:J34" si="7">E175+E181</f>
        <v>0</v>
      </c>
      <c r="F34" s="211">
        <f t="shared" si="7"/>
        <v>1114400</v>
      </c>
      <c r="G34" s="211">
        <f t="shared" si="7"/>
        <v>1038000</v>
      </c>
      <c r="H34" s="210">
        <f t="shared" si="7"/>
        <v>1158800</v>
      </c>
      <c r="I34" s="211">
        <f t="shared" si="7"/>
        <v>1113300</v>
      </c>
      <c r="J34" s="211">
        <f t="shared" si="7"/>
        <v>1118700</v>
      </c>
    </row>
    <row r="35" spans="1:10" ht="15" customHeight="1" x14ac:dyDescent="0.2">
      <c r="A35" s="207" t="s">
        <v>834</v>
      </c>
      <c r="B35" s="129" t="s">
        <v>835</v>
      </c>
      <c r="C35" s="129"/>
      <c r="D35" s="129"/>
      <c r="E35" s="211">
        <f t="shared" ref="E35:J35" si="8">E241+E247</f>
        <v>7240372.5</v>
      </c>
      <c r="F35" s="211">
        <f t="shared" si="8"/>
        <v>5539100</v>
      </c>
      <c r="G35" s="211">
        <f t="shared" si="8"/>
        <v>5520400</v>
      </c>
      <c r="H35" s="210">
        <f t="shared" si="8"/>
        <v>4295400</v>
      </c>
      <c r="I35" s="211">
        <f t="shared" si="8"/>
        <v>4319800</v>
      </c>
      <c r="J35" s="211">
        <f t="shared" si="8"/>
        <v>4319800</v>
      </c>
    </row>
    <row r="36" spans="1:10" ht="15" customHeight="1" x14ac:dyDescent="0.2">
      <c r="A36" s="207" t="s">
        <v>836</v>
      </c>
      <c r="B36" s="323" t="s">
        <v>837</v>
      </c>
      <c r="C36" s="324"/>
      <c r="D36" s="325"/>
      <c r="E36" s="211">
        <f t="shared" ref="E36:J36" si="9">E301+E308</f>
        <v>0</v>
      </c>
      <c r="F36" s="211">
        <f t="shared" si="9"/>
        <v>385900</v>
      </c>
      <c r="G36" s="211">
        <f t="shared" si="9"/>
        <v>306800</v>
      </c>
      <c r="H36" s="210">
        <f t="shared" si="9"/>
        <v>305000</v>
      </c>
      <c r="I36" s="211">
        <f t="shared" si="9"/>
        <v>338500</v>
      </c>
      <c r="J36" s="211">
        <f t="shared" si="9"/>
        <v>326400</v>
      </c>
    </row>
    <row r="37" spans="1:10" ht="15" customHeight="1" x14ac:dyDescent="0.2">
      <c r="A37" s="207" t="s">
        <v>838</v>
      </c>
      <c r="B37" s="323" t="s">
        <v>839</v>
      </c>
      <c r="C37" s="324"/>
      <c r="D37" s="325"/>
      <c r="E37" s="211">
        <f t="shared" ref="E37:J37" si="10">E361+E368</f>
        <v>0</v>
      </c>
      <c r="F37" s="211">
        <f t="shared" si="10"/>
        <v>1849500</v>
      </c>
      <c r="G37" s="211">
        <f t="shared" si="10"/>
        <v>1786200</v>
      </c>
      <c r="H37" s="210">
        <f t="shared" si="10"/>
        <v>1796900</v>
      </c>
      <c r="I37" s="211">
        <f t="shared" si="10"/>
        <v>1838300</v>
      </c>
      <c r="J37" s="211">
        <f t="shared" si="10"/>
        <v>1844900</v>
      </c>
    </row>
    <row r="38" spans="1:10" x14ac:dyDescent="0.2">
      <c r="A38" s="139" t="s">
        <v>841</v>
      </c>
      <c r="B38" s="139"/>
      <c r="C38" s="139"/>
      <c r="D38" s="139"/>
      <c r="E38" s="140">
        <f>SUM(E33:E37)</f>
        <v>12516115.780000001</v>
      </c>
      <c r="F38" s="140">
        <f t="shared" ref="F38:J38" si="11">SUM(F33:F37)</f>
        <v>20395000</v>
      </c>
      <c r="G38" s="140">
        <f t="shared" si="11"/>
        <v>22019939</v>
      </c>
      <c r="H38" s="140">
        <f t="shared" si="11"/>
        <v>16456900</v>
      </c>
      <c r="I38" s="140">
        <f t="shared" si="11"/>
        <v>11815700</v>
      </c>
      <c r="J38" s="140">
        <f t="shared" si="11"/>
        <v>11820000</v>
      </c>
    </row>
    <row r="39" spans="1:10" x14ac:dyDescent="0.2">
      <c r="A39" s="151"/>
      <c r="B39" s="151"/>
      <c r="C39" s="151"/>
      <c r="D39" s="151"/>
      <c r="E39" s="261"/>
      <c r="F39" s="286"/>
      <c r="G39" s="261"/>
      <c r="H39" s="303"/>
      <c r="I39" s="261"/>
      <c r="J39" s="261"/>
    </row>
    <row r="40" spans="1:10" x14ac:dyDescent="0.2">
      <c r="A40" s="141" t="s">
        <v>283</v>
      </c>
      <c r="B40" s="141"/>
      <c r="C40" s="141"/>
      <c r="D40" s="141"/>
      <c r="E40" s="141"/>
      <c r="F40" s="141"/>
      <c r="G40" s="141"/>
      <c r="H40" s="141"/>
      <c r="I40" s="141"/>
      <c r="J40" s="141"/>
    </row>
    <row r="41" spans="1:10" x14ac:dyDescent="0.2">
      <c r="A41" s="131" t="s">
        <v>284</v>
      </c>
      <c r="B41" s="131"/>
      <c r="C41" s="131"/>
      <c r="D41" s="131"/>
      <c r="E41" s="131"/>
      <c r="F41" s="131"/>
      <c r="G41" s="131"/>
      <c r="H41" s="131"/>
      <c r="I41" s="131"/>
      <c r="J41" s="131"/>
    </row>
    <row r="42" spans="1:10" x14ac:dyDescent="0.2">
      <c r="A42" s="207"/>
      <c r="B42" s="129" t="s">
        <v>7</v>
      </c>
      <c r="C42" s="101"/>
      <c r="D42" s="101"/>
      <c r="E42" s="211">
        <f t="shared" ref="E42:J42" si="12">E411</f>
        <v>512639.45</v>
      </c>
      <c r="F42" s="209">
        <f t="shared" si="12"/>
        <v>2294600</v>
      </c>
      <c r="G42" s="211">
        <f t="shared" si="12"/>
        <v>2108500</v>
      </c>
      <c r="H42" s="210">
        <f t="shared" si="12"/>
        <v>2235900</v>
      </c>
      <c r="I42" s="211">
        <f t="shared" si="12"/>
        <v>2328600</v>
      </c>
      <c r="J42" s="211">
        <f t="shared" si="12"/>
        <v>2346900</v>
      </c>
    </row>
    <row r="43" spans="1:10" x14ac:dyDescent="0.2">
      <c r="A43" s="207"/>
      <c r="B43" s="129" t="s">
        <v>196</v>
      </c>
      <c r="C43" s="101"/>
      <c r="D43" s="101"/>
      <c r="E43" s="211">
        <f t="shared" ref="E43:J43" si="13">E418</f>
        <v>0</v>
      </c>
      <c r="F43" s="209">
        <f t="shared" si="13"/>
        <v>29100</v>
      </c>
      <c r="G43" s="211">
        <f t="shared" si="13"/>
        <v>29100</v>
      </c>
      <c r="H43" s="210">
        <f t="shared" si="13"/>
        <v>55300</v>
      </c>
      <c r="I43" s="211">
        <f t="shared" si="13"/>
        <v>56500</v>
      </c>
      <c r="J43" s="211">
        <f t="shared" si="13"/>
        <v>57700</v>
      </c>
    </row>
    <row r="44" spans="1:10" x14ac:dyDescent="0.2">
      <c r="A44" s="207"/>
      <c r="B44" s="129" t="s">
        <v>285</v>
      </c>
      <c r="C44" s="101"/>
      <c r="D44" s="101"/>
      <c r="E44" s="211">
        <f t="shared" ref="E44:J44" si="14">E425</f>
        <v>206112.77</v>
      </c>
      <c r="F44" s="209">
        <f t="shared" si="14"/>
        <v>471200</v>
      </c>
      <c r="G44" s="211">
        <f t="shared" si="14"/>
        <v>407500</v>
      </c>
      <c r="H44" s="210">
        <f t="shared" si="14"/>
        <v>457400</v>
      </c>
      <c r="I44" s="211">
        <f t="shared" si="14"/>
        <v>466500</v>
      </c>
      <c r="J44" s="211">
        <f t="shared" si="14"/>
        <v>466500</v>
      </c>
    </row>
    <row r="45" spans="1:10" x14ac:dyDescent="0.2">
      <c r="A45" s="207"/>
      <c r="B45" s="129" t="s">
        <v>198</v>
      </c>
      <c r="C45" s="101"/>
      <c r="D45" s="101"/>
      <c r="E45" s="211">
        <f t="shared" ref="E45:J45" si="15">E433</f>
        <v>34819.5</v>
      </c>
      <c r="F45" s="209">
        <f t="shared" si="15"/>
        <v>22500</v>
      </c>
      <c r="G45" s="211">
        <f t="shared" si="15"/>
        <v>22500</v>
      </c>
      <c r="H45" s="210">
        <f t="shared" si="15"/>
        <v>18400</v>
      </c>
      <c r="I45" s="211">
        <f t="shared" si="15"/>
        <v>33600</v>
      </c>
      <c r="J45" s="211">
        <f t="shared" si="15"/>
        <v>18400</v>
      </c>
    </row>
    <row r="46" spans="1:10" x14ac:dyDescent="0.2">
      <c r="A46" s="207"/>
      <c r="B46" s="129" t="s">
        <v>286</v>
      </c>
      <c r="C46" s="101"/>
      <c r="D46" s="101"/>
      <c r="E46" s="211">
        <f t="shared" ref="E46:J46" si="16">E441</f>
        <v>10291944.060000001</v>
      </c>
      <c r="F46" s="209">
        <f t="shared" si="16"/>
        <v>9647600</v>
      </c>
      <c r="G46" s="211">
        <f t="shared" si="16"/>
        <v>10191100</v>
      </c>
      <c r="H46" s="210">
        <f t="shared" si="16"/>
        <v>8990500</v>
      </c>
      <c r="I46" s="211">
        <f t="shared" si="16"/>
        <v>8930500</v>
      </c>
      <c r="J46" s="211">
        <f t="shared" si="16"/>
        <v>8930500</v>
      </c>
    </row>
    <row r="47" spans="1:10" x14ac:dyDescent="0.2">
      <c r="A47" s="139" t="s">
        <v>287</v>
      </c>
      <c r="B47" s="139"/>
      <c r="C47" s="139"/>
      <c r="D47" s="139"/>
      <c r="E47" s="140">
        <f t="shared" ref="E47:J47" si="17">SUM(E42:E46)</f>
        <v>11045515.780000001</v>
      </c>
      <c r="F47" s="140">
        <f t="shared" si="17"/>
        <v>12465000</v>
      </c>
      <c r="G47" s="140">
        <f t="shared" si="17"/>
        <v>12758700</v>
      </c>
      <c r="H47" s="140">
        <f t="shared" si="17"/>
        <v>11757500</v>
      </c>
      <c r="I47" s="140">
        <f t="shared" si="17"/>
        <v>11815700</v>
      </c>
      <c r="J47" s="140">
        <f t="shared" si="17"/>
        <v>11820000</v>
      </c>
    </row>
    <row r="48" spans="1:10" x14ac:dyDescent="0.2">
      <c r="A48" s="129"/>
      <c r="B48" s="129"/>
      <c r="C48" s="129"/>
      <c r="D48" s="129"/>
      <c r="E48" s="129"/>
      <c r="F48" s="129"/>
      <c r="G48" s="129"/>
      <c r="H48" s="129"/>
      <c r="I48" s="129"/>
      <c r="J48" s="129"/>
    </row>
    <row r="49" spans="1:10" x14ac:dyDescent="0.2">
      <c r="A49" s="131" t="s">
        <v>15</v>
      </c>
      <c r="B49" s="131"/>
      <c r="C49" s="131"/>
      <c r="D49" s="131"/>
      <c r="E49" s="131"/>
      <c r="F49" s="131"/>
      <c r="G49" s="131"/>
      <c r="H49" s="131"/>
      <c r="I49" s="131"/>
      <c r="J49" s="131"/>
    </row>
    <row r="50" spans="1:10" x14ac:dyDescent="0.2">
      <c r="A50" s="130" t="s">
        <v>243</v>
      </c>
      <c r="B50" s="130" t="s">
        <v>244</v>
      </c>
      <c r="C50" s="374" t="s">
        <v>245</v>
      </c>
      <c r="D50" s="375"/>
      <c r="E50" s="143"/>
      <c r="F50" s="143"/>
      <c r="G50" s="143"/>
      <c r="H50" s="143"/>
      <c r="I50" s="143"/>
      <c r="J50" s="143"/>
    </row>
    <row r="51" spans="1:10" x14ac:dyDescent="0.2">
      <c r="A51" s="133" t="str">
        <f t="shared" ref="A51:A54" si="18">RIGHT(A103,3)</f>
        <v>32A</v>
      </c>
      <c r="B51" s="376" t="str">
        <f t="shared" ref="B51:C58" si="19">B103</f>
        <v>GOM</v>
      </c>
      <c r="C51" s="377" t="str">
        <f t="shared" si="19"/>
        <v>Media Exchange Develoment</v>
      </c>
      <c r="D51" s="378"/>
      <c r="E51" s="379">
        <v>1470600</v>
      </c>
      <c r="F51" s="158">
        <f>F103</f>
        <v>292900</v>
      </c>
      <c r="G51" s="158">
        <f>G103</f>
        <v>573339</v>
      </c>
      <c r="H51" s="136">
        <f>H103</f>
        <v>0</v>
      </c>
      <c r="I51" s="158">
        <f>I103</f>
        <v>0</v>
      </c>
      <c r="J51" s="158">
        <f>J103</f>
        <v>0</v>
      </c>
    </row>
    <row r="52" spans="1:10" x14ac:dyDescent="0.2">
      <c r="A52" s="133" t="str">
        <f t="shared" si="18"/>
        <v>31A</v>
      </c>
      <c r="B52" s="376" t="str">
        <f t="shared" si="19"/>
        <v>DFID</v>
      </c>
      <c r="C52" s="377" t="str">
        <f t="shared" si="19"/>
        <v>Cemetary Establishment</v>
      </c>
      <c r="D52" s="378"/>
      <c r="E52" s="379">
        <f t="shared" ref="E52:J58" si="20">E104</f>
        <v>0</v>
      </c>
      <c r="F52" s="158">
        <f t="shared" si="20"/>
        <v>270800</v>
      </c>
      <c r="G52" s="158">
        <f t="shared" si="20"/>
        <v>270800</v>
      </c>
      <c r="H52" s="136">
        <f t="shared" si="20"/>
        <v>270800</v>
      </c>
      <c r="I52" s="158">
        <f t="shared" si="20"/>
        <v>0</v>
      </c>
      <c r="J52" s="158">
        <f t="shared" si="20"/>
        <v>0</v>
      </c>
    </row>
    <row r="53" spans="1:10" x14ac:dyDescent="0.2">
      <c r="A53" s="133" t="str">
        <f t="shared" si="18"/>
        <v>02A</v>
      </c>
      <c r="B53" s="376" t="str">
        <f t="shared" si="19"/>
        <v>DFID</v>
      </c>
      <c r="C53" s="377" t="str">
        <f t="shared" si="19"/>
        <v>MDC Operations 2012</v>
      </c>
      <c r="D53" s="378"/>
      <c r="E53" s="379">
        <f t="shared" si="20"/>
        <v>0</v>
      </c>
      <c r="F53" s="158">
        <f t="shared" si="20"/>
        <v>2000000</v>
      </c>
      <c r="G53" s="158">
        <f t="shared" si="20"/>
        <v>2604700</v>
      </c>
      <c r="H53" s="136">
        <f t="shared" si="20"/>
        <v>0</v>
      </c>
      <c r="I53" s="158">
        <f t="shared" si="20"/>
        <v>0</v>
      </c>
      <c r="J53" s="158">
        <f t="shared" si="20"/>
        <v>0</v>
      </c>
    </row>
    <row r="54" spans="1:10" x14ac:dyDescent="0.2">
      <c r="A54" s="133" t="str">
        <f t="shared" si="18"/>
        <v>99A</v>
      </c>
      <c r="B54" s="376" t="str">
        <f t="shared" si="19"/>
        <v>DFID</v>
      </c>
      <c r="C54" s="377" t="str">
        <f t="shared" si="19"/>
        <v>Tourism Management &amp; Development Consultancy</v>
      </c>
      <c r="D54" s="378"/>
      <c r="E54" s="379">
        <f t="shared" si="20"/>
        <v>0</v>
      </c>
      <c r="F54" s="158">
        <f t="shared" si="20"/>
        <v>0</v>
      </c>
      <c r="G54" s="158">
        <f t="shared" si="20"/>
        <v>395100</v>
      </c>
      <c r="H54" s="136">
        <f t="shared" si="20"/>
        <v>0</v>
      </c>
      <c r="I54" s="158">
        <f t="shared" si="20"/>
        <v>0</v>
      </c>
      <c r="J54" s="158">
        <f t="shared" si="20"/>
        <v>0</v>
      </c>
    </row>
    <row r="55" spans="1:10" x14ac:dyDescent="0.2">
      <c r="A55" s="133" t="str">
        <f>RIGHT(A107,3)</f>
        <v>56A</v>
      </c>
      <c r="B55" s="376" t="str">
        <f t="shared" si="19"/>
        <v>LOCAL</v>
      </c>
      <c r="C55" s="377" t="str">
        <f t="shared" si="19"/>
        <v>BNTF 6/7</v>
      </c>
      <c r="D55" s="378"/>
      <c r="E55" s="379">
        <f t="shared" si="20"/>
        <v>0</v>
      </c>
      <c r="F55" s="158">
        <f t="shared" si="20"/>
        <v>500000</v>
      </c>
      <c r="G55" s="158">
        <f t="shared" si="20"/>
        <v>500000</v>
      </c>
      <c r="H55" s="136">
        <f t="shared" si="20"/>
        <v>0</v>
      </c>
      <c r="I55" s="158">
        <f t="shared" si="20"/>
        <v>0</v>
      </c>
      <c r="J55" s="158">
        <f t="shared" si="20"/>
        <v>0</v>
      </c>
    </row>
    <row r="56" spans="1:10" x14ac:dyDescent="0.2">
      <c r="A56" s="133" t="str">
        <f>RIGHT(A108,3)</f>
        <v>67A</v>
      </c>
      <c r="B56" s="376" t="str">
        <f t="shared" si="19"/>
        <v>EU</v>
      </c>
      <c r="C56" s="377" t="str">
        <f t="shared" si="19"/>
        <v>Fibre Optic Cable Phase 2</v>
      </c>
      <c r="D56" s="378"/>
      <c r="E56" s="379">
        <f t="shared" si="20"/>
        <v>0</v>
      </c>
      <c r="F56" s="158">
        <f t="shared" si="20"/>
        <v>2996300</v>
      </c>
      <c r="G56" s="158">
        <f t="shared" si="20"/>
        <v>2996300</v>
      </c>
      <c r="H56" s="136">
        <f t="shared" si="20"/>
        <v>3000000</v>
      </c>
      <c r="I56" s="158">
        <f t="shared" si="20"/>
        <v>0</v>
      </c>
      <c r="J56" s="158">
        <f t="shared" si="20"/>
        <v>0</v>
      </c>
    </row>
    <row r="57" spans="1:10" x14ac:dyDescent="0.2">
      <c r="A57" s="133" t="str">
        <f>RIGHT(A109,3)</f>
        <v>74A</v>
      </c>
      <c r="B57" s="376" t="str">
        <f t="shared" si="19"/>
        <v>EU</v>
      </c>
      <c r="C57" s="377" t="str">
        <f t="shared" si="19"/>
        <v>ICT</v>
      </c>
      <c r="D57" s="378"/>
      <c r="E57" s="379">
        <f t="shared" si="20"/>
        <v>0</v>
      </c>
      <c r="F57" s="158">
        <f t="shared" si="20"/>
        <v>1870000</v>
      </c>
      <c r="G57" s="158">
        <f t="shared" si="20"/>
        <v>1870000</v>
      </c>
      <c r="H57" s="136">
        <f t="shared" si="20"/>
        <v>1377600</v>
      </c>
      <c r="I57" s="158">
        <f t="shared" si="20"/>
        <v>0</v>
      </c>
      <c r="J57" s="158">
        <f t="shared" si="20"/>
        <v>0</v>
      </c>
    </row>
    <row r="58" spans="1:10" x14ac:dyDescent="0.2">
      <c r="A58" s="133" t="str">
        <f>RIGHT(A110,3)</f>
        <v>02A</v>
      </c>
      <c r="B58" s="376" t="str">
        <f t="shared" si="19"/>
        <v>UNDP</v>
      </c>
      <c r="C58" s="377" t="str">
        <f t="shared" si="19"/>
        <v>Environmental Remediation &amp; Protection</v>
      </c>
      <c r="D58" s="378"/>
      <c r="E58" s="379">
        <f t="shared" si="20"/>
        <v>0</v>
      </c>
      <c r="F58" s="158">
        <f t="shared" si="20"/>
        <v>0</v>
      </c>
      <c r="G58" s="158">
        <f t="shared" si="20"/>
        <v>51000</v>
      </c>
      <c r="H58" s="136">
        <f t="shared" si="20"/>
        <v>51000</v>
      </c>
      <c r="I58" s="158">
        <f t="shared" si="20"/>
        <v>0</v>
      </c>
      <c r="J58" s="158">
        <f t="shared" si="20"/>
        <v>0</v>
      </c>
    </row>
    <row r="59" spans="1:10" x14ac:dyDescent="0.2">
      <c r="A59" s="139" t="s">
        <v>69</v>
      </c>
      <c r="B59" s="139"/>
      <c r="C59" s="380"/>
      <c r="D59" s="380"/>
      <c r="E59" s="140">
        <f>SUM(E51:E58)</f>
        <v>1470600</v>
      </c>
      <c r="F59" s="140">
        <f>SUM(F51:F58)</f>
        <v>7930000</v>
      </c>
      <c r="G59" s="140">
        <f t="shared" ref="G59:J59" si="21">SUM(G51:G58)</f>
        <v>9261239</v>
      </c>
      <c r="H59" s="140">
        <f t="shared" si="21"/>
        <v>4699400</v>
      </c>
      <c r="I59" s="140">
        <f t="shared" si="21"/>
        <v>0</v>
      </c>
      <c r="J59" s="140">
        <f t="shared" si="21"/>
        <v>0</v>
      </c>
    </row>
    <row r="60" spans="1:10" x14ac:dyDescent="0.2">
      <c r="A60" s="129"/>
      <c r="B60" s="129"/>
      <c r="C60" s="129"/>
      <c r="D60" s="129"/>
      <c r="E60" s="129"/>
      <c r="F60" s="129"/>
      <c r="G60" s="129"/>
      <c r="H60" s="129"/>
      <c r="I60" s="129"/>
      <c r="J60" s="129"/>
    </row>
    <row r="61" spans="1:10" x14ac:dyDescent="0.2">
      <c r="A61" s="137" t="s">
        <v>841</v>
      </c>
      <c r="B61" s="137"/>
      <c r="C61" s="137"/>
      <c r="D61" s="137"/>
      <c r="E61" s="147">
        <f t="shared" ref="E61:J61" si="22">SUM(E47,E59)</f>
        <v>12516115.780000001</v>
      </c>
      <c r="F61" s="147">
        <f t="shared" si="22"/>
        <v>20395000</v>
      </c>
      <c r="G61" s="147">
        <f t="shared" si="22"/>
        <v>22019939</v>
      </c>
      <c r="H61" s="147">
        <f t="shared" si="22"/>
        <v>16456900</v>
      </c>
      <c r="I61" s="147">
        <f t="shared" si="22"/>
        <v>11815700</v>
      </c>
      <c r="J61" s="147">
        <f t="shared" si="22"/>
        <v>11820000</v>
      </c>
    </row>
    <row r="62" spans="1:10" x14ac:dyDescent="0.2">
      <c r="A62" s="129"/>
      <c r="B62" s="129"/>
      <c r="C62" s="129"/>
      <c r="D62" s="129"/>
      <c r="E62" s="129"/>
      <c r="F62" s="129"/>
      <c r="G62" s="129"/>
      <c r="H62" s="129"/>
      <c r="I62" s="129"/>
      <c r="J62" s="129"/>
    </row>
    <row r="63" spans="1:10" x14ac:dyDescent="0.2">
      <c r="A63" s="128" t="s">
        <v>288</v>
      </c>
      <c r="B63" s="128"/>
      <c r="C63" s="128"/>
      <c r="D63" s="128"/>
      <c r="E63" s="128"/>
      <c r="F63" s="128"/>
      <c r="G63" s="128"/>
      <c r="H63" s="128"/>
      <c r="I63" s="128"/>
      <c r="J63" s="128"/>
    </row>
    <row r="64" spans="1:10" x14ac:dyDescent="0.2">
      <c r="A64" s="137" t="s">
        <v>289</v>
      </c>
      <c r="B64" s="137"/>
      <c r="C64" s="137"/>
      <c r="D64" s="137"/>
      <c r="E64" s="149"/>
      <c r="F64" s="149"/>
      <c r="G64" s="149"/>
      <c r="H64" s="148"/>
      <c r="I64" s="149"/>
      <c r="J64" s="149"/>
    </row>
    <row r="65" spans="1:10" x14ac:dyDescent="0.2">
      <c r="A65" s="129"/>
      <c r="B65" s="129"/>
      <c r="C65" s="129"/>
      <c r="D65" s="129"/>
      <c r="E65" s="129"/>
      <c r="F65" s="129"/>
      <c r="G65" s="129"/>
      <c r="H65" s="129"/>
      <c r="I65" s="129"/>
      <c r="J65" s="129"/>
    </row>
    <row r="66" spans="1:10" x14ac:dyDescent="0.2">
      <c r="A66" s="150" t="s">
        <v>842</v>
      </c>
      <c r="B66" s="150"/>
      <c r="C66" s="150"/>
      <c r="D66" s="150"/>
      <c r="E66" s="150"/>
      <c r="F66" s="150"/>
      <c r="G66" s="150"/>
      <c r="H66" s="150"/>
      <c r="I66" s="150"/>
      <c r="J66" s="150"/>
    </row>
    <row r="67" spans="1:10" x14ac:dyDescent="0.2">
      <c r="A67" s="151" t="s">
        <v>291</v>
      </c>
      <c r="B67" s="151"/>
      <c r="C67" s="151"/>
      <c r="D67" s="101"/>
      <c r="E67" s="101"/>
      <c r="F67" s="101"/>
      <c r="G67" s="101"/>
      <c r="H67" s="101"/>
      <c r="I67" s="101"/>
      <c r="J67" s="101"/>
    </row>
    <row r="68" spans="1:10" ht="24.75" customHeight="1" x14ac:dyDescent="0.2">
      <c r="A68" s="129" t="s">
        <v>843</v>
      </c>
      <c r="B68" s="129"/>
      <c r="C68" s="129"/>
      <c r="D68" s="129"/>
      <c r="E68" s="129"/>
      <c r="F68" s="129"/>
      <c r="G68" s="129"/>
      <c r="H68" s="129"/>
      <c r="I68" s="129"/>
      <c r="J68" s="129"/>
    </row>
    <row r="69" spans="1:10" x14ac:dyDescent="0.2">
      <c r="A69" s="128" t="s">
        <v>293</v>
      </c>
      <c r="B69" s="128"/>
      <c r="C69" s="128"/>
      <c r="D69" s="128"/>
      <c r="E69" s="128"/>
      <c r="F69" s="128"/>
      <c r="G69" s="128"/>
      <c r="H69" s="128"/>
      <c r="I69" s="128"/>
      <c r="J69" s="128"/>
    </row>
    <row r="70" spans="1:10" ht="33.75" x14ac:dyDescent="0.2">
      <c r="A70" s="152" t="s">
        <v>243</v>
      </c>
      <c r="B70" s="151" t="s">
        <v>242</v>
      </c>
      <c r="C70" s="151"/>
      <c r="D70" s="151"/>
      <c r="E70" s="132" t="str">
        <f t="shared" ref="E70:J70" si="23">E23</f>
        <v>Actuals           2014-2015</v>
      </c>
      <c r="F70" s="132" t="str">
        <f t="shared" si="23"/>
        <v>Approved Estimates          2015-2016</v>
      </c>
      <c r="G70" s="132" t="str">
        <f t="shared" si="23"/>
        <v>Revised Estimates                 2015-2016</v>
      </c>
      <c r="H70" s="132" t="str">
        <f t="shared" si="23"/>
        <v>Budget Estimates      2016-2017</v>
      </c>
      <c r="I70" s="132" t="str">
        <f t="shared" si="23"/>
        <v>Forward Estimates     2017-2018</v>
      </c>
      <c r="J70" s="132" t="str">
        <f t="shared" si="23"/>
        <v>Forward Estimates     2018-2019</v>
      </c>
    </row>
    <row r="71" spans="1:10" x14ac:dyDescent="0.2">
      <c r="A71" s="207">
        <v>122</v>
      </c>
      <c r="B71" s="129" t="s">
        <v>844</v>
      </c>
      <c r="C71" s="101" t="s">
        <v>844</v>
      </c>
      <c r="D71" s="101" t="s">
        <v>844</v>
      </c>
      <c r="E71" s="211">
        <v>10173.75</v>
      </c>
      <c r="F71" s="211">
        <v>0</v>
      </c>
      <c r="G71" s="211">
        <v>0</v>
      </c>
      <c r="H71" s="210">
        <v>0</v>
      </c>
      <c r="I71" s="211">
        <v>0</v>
      </c>
      <c r="J71" s="211">
        <v>0</v>
      </c>
    </row>
    <row r="72" spans="1:10" x14ac:dyDescent="0.2">
      <c r="A72" s="137" t="s">
        <v>840</v>
      </c>
      <c r="B72" s="137"/>
      <c r="C72" s="137"/>
      <c r="D72" s="137"/>
      <c r="E72" s="138">
        <f t="shared" ref="E72:J72" si="24">SUM(E71:E71)</f>
        <v>10173.75</v>
      </c>
      <c r="F72" s="138">
        <f t="shared" si="24"/>
        <v>0</v>
      </c>
      <c r="G72" s="138">
        <f t="shared" si="24"/>
        <v>0</v>
      </c>
      <c r="H72" s="138">
        <f t="shared" si="24"/>
        <v>0</v>
      </c>
      <c r="I72" s="138">
        <f t="shared" si="24"/>
        <v>0</v>
      </c>
      <c r="J72" s="138">
        <f t="shared" si="24"/>
        <v>0</v>
      </c>
    </row>
    <row r="73" spans="1:10" x14ac:dyDescent="0.2">
      <c r="A73" s="129"/>
      <c r="B73" s="129"/>
      <c r="C73" s="129"/>
      <c r="D73" s="129"/>
      <c r="E73" s="129"/>
      <c r="F73" s="129"/>
      <c r="G73" s="129"/>
      <c r="H73" s="129"/>
      <c r="I73" s="129"/>
      <c r="J73" s="129"/>
    </row>
    <row r="74" spans="1:10" x14ac:dyDescent="0.2">
      <c r="A74" s="128" t="s">
        <v>284</v>
      </c>
      <c r="B74" s="128"/>
      <c r="C74" s="128"/>
      <c r="D74" s="128"/>
      <c r="E74" s="128"/>
      <c r="F74" s="128"/>
      <c r="G74" s="128"/>
      <c r="H74" s="128"/>
      <c r="I74" s="128"/>
      <c r="J74" s="128"/>
    </row>
    <row r="75" spans="1:10" ht="33.75" x14ac:dyDescent="0.2">
      <c r="A75" s="152" t="s">
        <v>243</v>
      </c>
      <c r="B75" s="151" t="s">
        <v>242</v>
      </c>
      <c r="C75" s="151"/>
      <c r="D75" s="151"/>
      <c r="E75" s="132" t="str">
        <f t="shared" ref="E75:J75" si="25">E23</f>
        <v>Actuals           2014-2015</v>
      </c>
      <c r="F75" s="132" t="str">
        <f t="shared" si="25"/>
        <v>Approved Estimates          2015-2016</v>
      </c>
      <c r="G75" s="132" t="str">
        <f t="shared" si="25"/>
        <v>Revised Estimates                 2015-2016</v>
      </c>
      <c r="H75" s="132" t="str">
        <f t="shared" si="25"/>
        <v>Budget Estimates      2016-2017</v>
      </c>
      <c r="I75" s="132" t="str">
        <f t="shared" si="25"/>
        <v>Forward Estimates     2017-2018</v>
      </c>
      <c r="J75" s="132" t="str">
        <f t="shared" si="25"/>
        <v>Forward Estimates     2018-2019</v>
      </c>
    </row>
    <row r="76" spans="1:10" x14ac:dyDescent="0.2">
      <c r="A76" s="151" t="s">
        <v>7</v>
      </c>
      <c r="B76" s="151"/>
      <c r="C76" s="151"/>
      <c r="D76" s="151"/>
      <c r="E76" s="151"/>
      <c r="F76" s="151"/>
      <c r="G76" s="151"/>
      <c r="H76" s="151"/>
      <c r="I76" s="151"/>
      <c r="J76" s="190"/>
    </row>
    <row r="77" spans="1:10" x14ac:dyDescent="0.2">
      <c r="A77" s="207">
        <v>210</v>
      </c>
      <c r="B77" s="129" t="s">
        <v>7</v>
      </c>
      <c r="C77" s="101"/>
      <c r="D77" s="101"/>
      <c r="E77" s="211">
        <v>308589.45</v>
      </c>
      <c r="F77" s="209">
        <v>665500</v>
      </c>
      <c r="G77" s="211">
        <v>675800</v>
      </c>
      <c r="H77" s="210">
        <v>792900</v>
      </c>
      <c r="I77" s="211">
        <v>797300</v>
      </c>
      <c r="J77" s="211">
        <v>801700</v>
      </c>
    </row>
    <row r="78" spans="1:10" x14ac:dyDescent="0.2">
      <c r="A78" s="207">
        <v>212</v>
      </c>
      <c r="B78" s="129" t="s">
        <v>9</v>
      </c>
      <c r="C78" s="101"/>
      <c r="D78" s="101"/>
      <c r="E78" s="211">
        <v>0</v>
      </c>
      <c r="F78" s="209">
        <v>18600</v>
      </c>
      <c r="G78" s="211">
        <v>18600</v>
      </c>
      <c r="H78" s="210">
        <v>18600</v>
      </c>
      <c r="I78" s="211">
        <v>18600</v>
      </c>
      <c r="J78" s="211">
        <v>18600</v>
      </c>
    </row>
    <row r="79" spans="1:10" x14ac:dyDescent="0.2">
      <c r="A79" s="207">
        <v>216</v>
      </c>
      <c r="B79" s="129" t="s">
        <v>10</v>
      </c>
      <c r="C79" s="101"/>
      <c r="D79" s="101"/>
      <c r="E79" s="211">
        <v>176362.77</v>
      </c>
      <c r="F79" s="209">
        <v>242200</v>
      </c>
      <c r="G79" s="211">
        <v>242000</v>
      </c>
      <c r="H79" s="210">
        <v>239900</v>
      </c>
      <c r="I79" s="211">
        <v>239900</v>
      </c>
      <c r="J79" s="211">
        <v>239900</v>
      </c>
    </row>
    <row r="80" spans="1:10" x14ac:dyDescent="0.2">
      <c r="A80" s="207">
        <v>218</v>
      </c>
      <c r="B80" s="129" t="s">
        <v>294</v>
      </c>
      <c r="C80" s="101"/>
      <c r="D80" s="101"/>
      <c r="E80" s="211">
        <v>25677</v>
      </c>
      <c r="F80" s="209">
        <v>0</v>
      </c>
      <c r="G80" s="211">
        <v>0</v>
      </c>
      <c r="H80" s="210">
        <v>9200</v>
      </c>
      <c r="I80" s="211">
        <v>9200</v>
      </c>
      <c r="J80" s="211">
        <v>9200</v>
      </c>
    </row>
    <row r="81" spans="1:10" x14ac:dyDescent="0.2">
      <c r="A81" s="156" t="s">
        <v>295</v>
      </c>
      <c r="B81" s="156"/>
      <c r="C81" s="156"/>
      <c r="D81" s="156"/>
      <c r="E81" s="157">
        <f t="shared" ref="E81:J81" si="26">SUM(E77:E80)</f>
        <v>510629.22</v>
      </c>
      <c r="F81" s="157">
        <f t="shared" si="26"/>
        <v>926300</v>
      </c>
      <c r="G81" s="157">
        <f t="shared" si="26"/>
        <v>936400</v>
      </c>
      <c r="H81" s="157">
        <f t="shared" si="26"/>
        <v>1060600</v>
      </c>
      <c r="I81" s="157">
        <f t="shared" si="26"/>
        <v>1065000</v>
      </c>
      <c r="J81" s="157">
        <f t="shared" si="26"/>
        <v>1069400</v>
      </c>
    </row>
    <row r="82" spans="1:10" x14ac:dyDescent="0.2">
      <c r="A82" s="156" t="s">
        <v>296</v>
      </c>
      <c r="B82" s="156"/>
      <c r="C82" s="156"/>
      <c r="D82" s="156"/>
      <c r="E82" s="156"/>
      <c r="F82" s="156"/>
      <c r="G82" s="156"/>
      <c r="H82" s="156"/>
      <c r="I82" s="156"/>
      <c r="J82" s="190"/>
    </row>
    <row r="83" spans="1:10" ht="14.25" customHeight="1" x14ac:dyDescent="0.2">
      <c r="A83" s="207">
        <v>220</v>
      </c>
      <c r="B83" s="381" t="s">
        <v>204</v>
      </c>
      <c r="C83" s="382"/>
      <c r="D83" s="383"/>
      <c r="E83" s="211">
        <v>0</v>
      </c>
      <c r="F83" s="211">
        <v>1000</v>
      </c>
      <c r="G83" s="211">
        <v>1000</v>
      </c>
      <c r="H83" s="210">
        <v>2000</v>
      </c>
      <c r="I83" s="211">
        <v>2000</v>
      </c>
      <c r="J83" s="211">
        <v>2000</v>
      </c>
    </row>
    <row r="84" spans="1:10" ht="14.25" customHeight="1" x14ac:dyDescent="0.2">
      <c r="A84" s="207">
        <v>222</v>
      </c>
      <c r="B84" s="381" t="s">
        <v>205</v>
      </c>
      <c r="C84" s="382"/>
      <c r="D84" s="383"/>
      <c r="E84" s="211">
        <v>44537.45</v>
      </c>
      <c r="F84" s="211">
        <v>75000</v>
      </c>
      <c r="G84" s="211">
        <v>117400</v>
      </c>
      <c r="H84" s="210">
        <v>71000</v>
      </c>
      <c r="I84" s="211">
        <v>71000</v>
      </c>
      <c r="J84" s="211">
        <v>71000</v>
      </c>
    </row>
    <row r="85" spans="1:10" ht="14.25" customHeight="1" x14ac:dyDescent="0.2">
      <c r="A85" s="207">
        <v>226</v>
      </c>
      <c r="B85" s="381" t="s">
        <v>207</v>
      </c>
      <c r="C85" s="382"/>
      <c r="D85" s="383"/>
      <c r="E85" s="211">
        <v>12247.33</v>
      </c>
      <c r="F85" s="211">
        <v>28000</v>
      </c>
      <c r="G85" s="211">
        <v>29800</v>
      </c>
      <c r="H85" s="210">
        <v>23000</v>
      </c>
      <c r="I85" s="211">
        <v>23000</v>
      </c>
      <c r="J85" s="211">
        <v>23000</v>
      </c>
    </row>
    <row r="86" spans="1:10" ht="14.25" customHeight="1" x14ac:dyDescent="0.2">
      <c r="A86" s="207">
        <v>228</v>
      </c>
      <c r="B86" s="381" t="s">
        <v>208</v>
      </c>
      <c r="C86" s="382"/>
      <c r="D86" s="383"/>
      <c r="E86" s="211">
        <v>9406.89</v>
      </c>
      <c r="F86" s="211">
        <v>14500</v>
      </c>
      <c r="G86" s="211">
        <v>20000</v>
      </c>
      <c r="H86" s="210">
        <v>14500</v>
      </c>
      <c r="I86" s="211">
        <v>14500</v>
      </c>
      <c r="J86" s="211">
        <v>14500</v>
      </c>
    </row>
    <row r="87" spans="1:10" ht="14.25" customHeight="1" x14ac:dyDescent="0.2">
      <c r="A87" s="207">
        <v>229</v>
      </c>
      <c r="B87" s="381" t="s">
        <v>209</v>
      </c>
      <c r="C87" s="382"/>
      <c r="D87" s="383"/>
      <c r="E87" s="211">
        <v>1225</v>
      </c>
      <c r="F87" s="211">
        <v>205500</v>
      </c>
      <c r="G87" s="211">
        <v>205800</v>
      </c>
      <c r="H87" s="210">
        <v>205500</v>
      </c>
      <c r="I87" s="211">
        <v>205500</v>
      </c>
      <c r="J87" s="211">
        <v>205500</v>
      </c>
    </row>
    <row r="88" spans="1:10" ht="14.25" customHeight="1" x14ac:dyDescent="0.2">
      <c r="A88" s="207">
        <v>232</v>
      </c>
      <c r="B88" s="381" t="s">
        <v>211</v>
      </c>
      <c r="C88" s="382"/>
      <c r="D88" s="383"/>
      <c r="E88" s="211">
        <v>9924.25</v>
      </c>
      <c r="F88" s="211">
        <v>12000</v>
      </c>
      <c r="G88" s="211">
        <v>25200</v>
      </c>
      <c r="H88" s="210">
        <v>25000</v>
      </c>
      <c r="I88" s="211">
        <v>25000</v>
      </c>
      <c r="J88" s="211">
        <v>25000</v>
      </c>
    </row>
    <row r="89" spans="1:10" ht="14.25" customHeight="1" x14ac:dyDescent="0.2">
      <c r="A89" s="207">
        <v>236</v>
      </c>
      <c r="B89" s="381" t="s">
        <v>213</v>
      </c>
      <c r="C89" s="382"/>
      <c r="D89" s="383"/>
      <c r="E89" s="211">
        <v>7700</v>
      </c>
      <c r="F89" s="211">
        <v>117000</v>
      </c>
      <c r="G89" s="211">
        <v>101600</v>
      </c>
      <c r="H89" s="210">
        <v>85000</v>
      </c>
      <c r="I89" s="211">
        <v>85000</v>
      </c>
      <c r="J89" s="211">
        <v>85000</v>
      </c>
    </row>
    <row r="90" spans="1:10" ht="14.25" customHeight="1" x14ac:dyDescent="0.2">
      <c r="A90" s="207">
        <v>240</v>
      </c>
      <c r="B90" s="381" t="s">
        <v>215</v>
      </c>
      <c r="C90" s="382"/>
      <c r="D90" s="383"/>
      <c r="E90" s="211">
        <v>23235.84</v>
      </c>
      <c r="F90" s="211">
        <v>30000</v>
      </c>
      <c r="G90" s="211">
        <v>38000</v>
      </c>
      <c r="H90" s="210">
        <v>25000</v>
      </c>
      <c r="I90" s="211">
        <v>25000</v>
      </c>
      <c r="J90" s="211">
        <v>25000</v>
      </c>
    </row>
    <row r="91" spans="1:10" ht="14.25" customHeight="1" x14ac:dyDescent="0.2">
      <c r="A91" s="207">
        <v>244</v>
      </c>
      <c r="B91" s="381" t="s">
        <v>217</v>
      </c>
      <c r="C91" s="382"/>
      <c r="D91" s="383"/>
      <c r="E91" s="211">
        <v>1135</v>
      </c>
      <c r="F91" s="211">
        <v>2000</v>
      </c>
      <c r="G91" s="211">
        <v>2000</v>
      </c>
      <c r="H91" s="210">
        <v>2000</v>
      </c>
      <c r="I91" s="211">
        <v>2000</v>
      </c>
      <c r="J91" s="211">
        <v>2000</v>
      </c>
    </row>
    <row r="92" spans="1:10" ht="14.25" customHeight="1" x14ac:dyDescent="0.2">
      <c r="A92" s="207">
        <v>246</v>
      </c>
      <c r="B92" s="381" t="s">
        <v>218</v>
      </c>
      <c r="C92" s="382"/>
      <c r="D92" s="383"/>
      <c r="E92" s="211">
        <v>0</v>
      </c>
      <c r="F92" s="211">
        <v>2000</v>
      </c>
      <c r="G92" s="211">
        <v>2000</v>
      </c>
      <c r="H92" s="210">
        <v>2000</v>
      </c>
      <c r="I92" s="211">
        <v>2000</v>
      </c>
      <c r="J92" s="211">
        <v>2000</v>
      </c>
    </row>
    <row r="93" spans="1:10" ht="14.25" customHeight="1" x14ac:dyDescent="0.2">
      <c r="A93" s="207">
        <v>260</v>
      </c>
      <c r="B93" s="381" t="s">
        <v>845</v>
      </c>
      <c r="C93" s="382"/>
      <c r="D93" s="383"/>
      <c r="E93" s="211">
        <v>0</v>
      </c>
      <c r="F93" s="211">
        <v>0</v>
      </c>
      <c r="G93" s="211">
        <v>0</v>
      </c>
      <c r="H93" s="210">
        <v>605000</v>
      </c>
      <c r="I93" s="211">
        <v>605000</v>
      </c>
      <c r="J93" s="211">
        <v>605000</v>
      </c>
    </row>
    <row r="94" spans="1:10" ht="14.25" customHeight="1" x14ac:dyDescent="0.2">
      <c r="A94" s="207">
        <v>261</v>
      </c>
      <c r="B94" s="381" t="s">
        <v>221</v>
      </c>
      <c r="C94" s="382"/>
      <c r="D94" s="383"/>
      <c r="E94" s="211">
        <v>3164813.6</v>
      </c>
      <c r="F94" s="211">
        <v>2112200</v>
      </c>
      <c r="G94" s="211">
        <v>2577400</v>
      </c>
      <c r="H94" s="210">
        <f>2112200-230000+150000</f>
        <v>2032200</v>
      </c>
      <c r="I94" s="211">
        <f t="shared" ref="I94:J94" si="27">2112200-230000+150000</f>
        <v>2032200</v>
      </c>
      <c r="J94" s="211">
        <f t="shared" si="27"/>
        <v>2032200</v>
      </c>
    </row>
    <row r="95" spans="1:10" ht="14.25" customHeight="1" x14ac:dyDescent="0.2">
      <c r="A95" s="207">
        <v>275</v>
      </c>
      <c r="B95" s="381" t="s">
        <v>228</v>
      </c>
      <c r="C95" s="382"/>
      <c r="D95" s="383"/>
      <c r="E95" s="211">
        <v>1288.7</v>
      </c>
      <c r="F95" s="211">
        <v>21600</v>
      </c>
      <c r="G95" s="211">
        <v>21700</v>
      </c>
      <c r="H95" s="210">
        <v>19600</v>
      </c>
      <c r="I95" s="211">
        <v>19600</v>
      </c>
      <c r="J95" s="211">
        <v>19600</v>
      </c>
    </row>
    <row r="96" spans="1:10" ht="14.25" customHeight="1" x14ac:dyDescent="0.2">
      <c r="A96" s="207">
        <v>281</v>
      </c>
      <c r="B96" s="381" t="s">
        <v>234</v>
      </c>
      <c r="C96" s="382"/>
      <c r="D96" s="383"/>
      <c r="E96" s="211">
        <v>19000</v>
      </c>
      <c r="F96" s="211">
        <v>29000</v>
      </c>
      <c r="G96" s="211">
        <v>29000</v>
      </c>
      <c r="H96" s="210">
        <v>29000</v>
      </c>
      <c r="I96" s="211">
        <v>29000</v>
      </c>
      <c r="J96" s="211">
        <v>29000</v>
      </c>
    </row>
    <row r="97" spans="1:10" x14ac:dyDescent="0.2">
      <c r="A97" s="156" t="s">
        <v>298</v>
      </c>
      <c r="B97" s="156"/>
      <c r="C97" s="156"/>
      <c r="D97" s="156"/>
      <c r="E97" s="157">
        <f t="shared" ref="E97:J97" si="28">SUM(E83:E96)</f>
        <v>3294514.06</v>
      </c>
      <c r="F97" s="264">
        <f t="shared" si="28"/>
        <v>2649800</v>
      </c>
      <c r="G97" s="264">
        <f t="shared" si="28"/>
        <v>3170900</v>
      </c>
      <c r="H97" s="264">
        <f t="shared" si="28"/>
        <v>3140800</v>
      </c>
      <c r="I97" s="264">
        <f t="shared" si="28"/>
        <v>3140800</v>
      </c>
      <c r="J97" s="264">
        <f t="shared" si="28"/>
        <v>3140800</v>
      </c>
    </row>
    <row r="98" spans="1:10" x14ac:dyDescent="0.2">
      <c r="A98" s="159" t="s">
        <v>299</v>
      </c>
      <c r="B98" s="159"/>
      <c r="C98" s="159"/>
      <c r="D98" s="159"/>
      <c r="E98" s="160">
        <f t="shared" ref="E98:J98" si="29">SUM(E81,E97)</f>
        <v>3805143.2800000003</v>
      </c>
      <c r="F98" s="160">
        <f t="shared" si="29"/>
        <v>3576100</v>
      </c>
      <c r="G98" s="160">
        <f t="shared" si="29"/>
        <v>4107300</v>
      </c>
      <c r="H98" s="160">
        <f t="shared" si="29"/>
        <v>4201400</v>
      </c>
      <c r="I98" s="160">
        <f t="shared" si="29"/>
        <v>4205800</v>
      </c>
      <c r="J98" s="160">
        <f t="shared" si="29"/>
        <v>4210200</v>
      </c>
    </row>
    <row r="99" spans="1:10" x14ac:dyDescent="0.2">
      <c r="A99" s="129"/>
      <c r="B99" s="129"/>
      <c r="C99" s="129"/>
      <c r="D99" s="129"/>
      <c r="E99" s="129"/>
      <c r="F99" s="129"/>
      <c r="G99" s="129"/>
      <c r="H99" s="129"/>
      <c r="I99" s="129"/>
      <c r="J99" s="190"/>
    </row>
    <row r="100" spans="1:10" x14ac:dyDescent="0.2">
      <c r="A100" s="162" t="s">
        <v>15</v>
      </c>
      <c r="B100" s="162"/>
      <c r="C100" s="162"/>
      <c r="D100" s="162"/>
      <c r="E100" s="162"/>
      <c r="F100" s="162"/>
      <c r="G100" s="162"/>
      <c r="H100" s="162"/>
      <c r="I100" s="162"/>
      <c r="J100" s="162"/>
    </row>
    <row r="101" spans="1:10" ht="18.75" customHeight="1" x14ac:dyDescent="0.2">
      <c r="A101" s="131" t="s">
        <v>242</v>
      </c>
      <c r="B101" s="131"/>
      <c r="C101" s="131"/>
      <c r="D101" s="131"/>
      <c r="E101" s="218" t="str">
        <f t="shared" ref="E101:J101" si="30">E23</f>
        <v>Actuals           2014-2015</v>
      </c>
      <c r="F101" s="218" t="str">
        <f t="shared" si="30"/>
        <v>Approved Estimates          2015-2016</v>
      </c>
      <c r="G101" s="218" t="str">
        <f t="shared" si="30"/>
        <v>Revised Estimates                 2015-2016</v>
      </c>
      <c r="H101" s="218" t="str">
        <f t="shared" si="30"/>
        <v>Budget Estimates      2016-2017</v>
      </c>
      <c r="I101" s="218" t="str">
        <f t="shared" si="30"/>
        <v>Forward Estimates     2017-2018</v>
      </c>
      <c r="J101" s="218" t="str">
        <f t="shared" si="30"/>
        <v>Forward Estimates     2018-2019</v>
      </c>
    </row>
    <row r="102" spans="1:10" x14ac:dyDescent="0.2">
      <c r="A102" s="130" t="s">
        <v>243</v>
      </c>
      <c r="B102" s="130" t="s">
        <v>244</v>
      </c>
      <c r="C102" s="131" t="s">
        <v>245</v>
      </c>
      <c r="D102" s="131"/>
      <c r="E102" s="219"/>
      <c r="F102" s="219"/>
      <c r="G102" s="219"/>
      <c r="H102" s="219"/>
      <c r="I102" s="219"/>
      <c r="J102" s="219"/>
    </row>
    <row r="103" spans="1:10" ht="14.25" customHeight="1" x14ac:dyDescent="0.2">
      <c r="A103" s="335" t="s">
        <v>846</v>
      </c>
      <c r="B103" s="144" t="s">
        <v>847</v>
      </c>
      <c r="C103" s="381" t="s">
        <v>848</v>
      </c>
      <c r="D103" s="382"/>
      <c r="E103" s="211">
        <v>1470600</v>
      </c>
      <c r="F103" s="211">
        <v>292900</v>
      </c>
      <c r="G103" s="211">
        <v>573339</v>
      </c>
      <c r="H103" s="210">
        <v>0</v>
      </c>
      <c r="I103" s="211">
        <v>0</v>
      </c>
      <c r="J103" s="211">
        <v>0</v>
      </c>
    </row>
    <row r="104" spans="1:10" ht="14.25" customHeight="1" x14ac:dyDescent="0.2">
      <c r="A104" s="335" t="s">
        <v>849</v>
      </c>
      <c r="B104" s="144" t="s">
        <v>633</v>
      </c>
      <c r="C104" s="381" t="s">
        <v>850</v>
      </c>
      <c r="D104" s="382"/>
      <c r="E104" s="211">
        <v>0</v>
      </c>
      <c r="F104" s="211">
        <v>270800</v>
      </c>
      <c r="G104" s="211">
        <v>270800</v>
      </c>
      <c r="H104" s="210">
        <v>270800</v>
      </c>
      <c r="I104" s="211">
        <v>0</v>
      </c>
      <c r="J104" s="211">
        <v>0</v>
      </c>
    </row>
    <row r="105" spans="1:10" ht="14.25" customHeight="1" x14ac:dyDescent="0.2">
      <c r="A105" s="335" t="s">
        <v>851</v>
      </c>
      <c r="B105" s="144" t="s">
        <v>633</v>
      </c>
      <c r="C105" s="381" t="s">
        <v>852</v>
      </c>
      <c r="D105" s="382"/>
      <c r="E105" s="211">
        <v>0</v>
      </c>
      <c r="F105" s="211">
        <v>2000000</v>
      </c>
      <c r="G105" s="211">
        <v>2604700</v>
      </c>
      <c r="H105" s="210">
        <v>0</v>
      </c>
      <c r="I105" s="211">
        <v>0</v>
      </c>
      <c r="J105" s="211">
        <v>0</v>
      </c>
    </row>
    <row r="106" spans="1:10" ht="14.25" customHeight="1" x14ac:dyDescent="0.2">
      <c r="A106" s="335" t="s">
        <v>853</v>
      </c>
      <c r="B106" s="144" t="s">
        <v>633</v>
      </c>
      <c r="C106" s="381" t="s">
        <v>854</v>
      </c>
      <c r="D106" s="382"/>
      <c r="E106" s="211">
        <v>0</v>
      </c>
      <c r="F106" s="211">
        <v>0</v>
      </c>
      <c r="G106" s="211">
        <v>395100</v>
      </c>
      <c r="H106" s="210">
        <v>0</v>
      </c>
      <c r="I106" s="211">
        <v>0</v>
      </c>
      <c r="J106" s="211"/>
    </row>
    <row r="107" spans="1:10" ht="14.25" customHeight="1" x14ac:dyDescent="0.2">
      <c r="A107" s="335" t="s">
        <v>855</v>
      </c>
      <c r="B107" s="144" t="s">
        <v>856</v>
      </c>
      <c r="C107" s="381" t="s">
        <v>857</v>
      </c>
      <c r="D107" s="382"/>
      <c r="E107" s="211">
        <v>0</v>
      </c>
      <c r="F107" s="211">
        <v>500000</v>
      </c>
      <c r="G107" s="211">
        <v>500000</v>
      </c>
      <c r="H107" s="210">
        <v>0</v>
      </c>
      <c r="I107" s="211">
        <v>0</v>
      </c>
      <c r="J107" s="211">
        <v>0</v>
      </c>
    </row>
    <row r="108" spans="1:10" ht="14.25" customHeight="1" x14ac:dyDescent="0.2">
      <c r="A108" s="335" t="s">
        <v>858</v>
      </c>
      <c r="B108" s="144" t="s">
        <v>859</v>
      </c>
      <c r="C108" s="381" t="s">
        <v>860</v>
      </c>
      <c r="D108" s="382"/>
      <c r="E108" s="211">
        <v>0</v>
      </c>
      <c r="F108" s="211">
        <v>2996300</v>
      </c>
      <c r="G108" s="211">
        <v>2996300</v>
      </c>
      <c r="H108" s="210">
        <v>3000000</v>
      </c>
      <c r="I108" s="211">
        <v>0</v>
      </c>
      <c r="J108" s="211">
        <v>0</v>
      </c>
    </row>
    <row r="109" spans="1:10" ht="14.25" customHeight="1" x14ac:dyDescent="0.2">
      <c r="A109" s="335" t="s">
        <v>861</v>
      </c>
      <c r="B109" s="144" t="s">
        <v>859</v>
      </c>
      <c r="C109" s="381" t="s">
        <v>862</v>
      </c>
      <c r="D109" s="382"/>
      <c r="E109" s="211">
        <v>0</v>
      </c>
      <c r="F109" s="211">
        <v>1870000</v>
      </c>
      <c r="G109" s="211">
        <v>1870000</v>
      </c>
      <c r="H109" s="210">
        <v>1377600</v>
      </c>
      <c r="I109" s="211">
        <v>0</v>
      </c>
      <c r="J109" s="211">
        <v>0</v>
      </c>
    </row>
    <row r="110" spans="1:10" ht="14.25" customHeight="1" x14ac:dyDescent="0.2">
      <c r="A110" s="335" t="s">
        <v>863</v>
      </c>
      <c r="B110" s="144" t="s">
        <v>864</v>
      </c>
      <c r="C110" s="381" t="s">
        <v>865</v>
      </c>
      <c r="D110" s="382"/>
      <c r="E110" s="211">
        <v>0</v>
      </c>
      <c r="F110" s="211">
        <v>0</v>
      </c>
      <c r="G110" s="211">
        <v>51000</v>
      </c>
      <c r="H110" s="210">
        <v>51000</v>
      </c>
      <c r="I110" s="211"/>
      <c r="J110" s="211"/>
    </row>
    <row r="111" spans="1:10" ht="15" customHeight="1" x14ac:dyDescent="0.2">
      <c r="A111" s="137" t="s">
        <v>15</v>
      </c>
      <c r="B111" s="137"/>
      <c r="C111" s="137"/>
      <c r="D111" s="137"/>
      <c r="E111" s="138">
        <f t="shared" ref="E111" si="31">SUM(E103:E110)</f>
        <v>1470600</v>
      </c>
      <c r="F111" s="138">
        <f t="shared" ref="F111" si="32">SUM(F103:F110)</f>
        <v>7930000</v>
      </c>
      <c r="G111" s="138">
        <f>SUM(G103:G110)</f>
        <v>9261239</v>
      </c>
      <c r="H111" s="138">
        <f>SUM(H103:H110)</f>
        <v>4699400</v>
      </c>
      <c r="I111" s="138">
        <f t="shared" ref="I111:J111" si="33">SUM(I103:I110)</f>
        <v>0</v>
      </c>
      <c r="J111" s="138">
        <f t="shared" si="33"/>
        <v>0</v>
      </c>
    </row>
    <row r="112" spans="1:10" ht="15" customHeight="1" x14ac:dyDescent="0.2">
      <c r="A112" s="134"/>
      <c r="B112" s="134"/>
      <c r="C112" s="134"/>
      <c r="D112" s="134"/>
      <c r="E112" s="134"/>
      <c r="F112" s="134"/>
      <c r="G112" s="134"/>
      <c r="H112" s="134"/>
      <c r="I112" s="134"/>
      <c r="J112" s="190"/>
    </row>
    <row r="113" spans="1:10" ht="15" customHeight="1" x14ac:dyDescent="0.2">
      <c r="A113" s="290"/>
      <c r="B113" s="290"/>
      <c r="C113" s="290"/>
      <c r="D113" s="290"/>
      <c r="E113" s="290"/>
      <c r="F113" s="290"/>
      <c r="G113" s="290"/>
      <c r="H113" s="290"/>
      <c r="I113" s="290"/>
      <c r="J113" s="290"/>
    </row>
    <row r="114" spans="1:10" ht="15" customHeight="1" x14ac:dyDescent="0.2">
      <c r="A114" s="161" t="s">
        <v>288</v>
      </c>
      <c r="B114" s="161"/>
      <c r="C114" s="161"/>
      <c r="D114" s="161"/>
      <c r="E114" s="161"/>
      <c r="F114" s="202"/>
      <c r="G114" s="202"/>
      <c r="H114" s="202"/>
      <c r="I114" s="202"/>
      <c r="J114" s="202"/>
    </row>
    <row r="115" spans="1:10" ht="15" customHeight="1" x14ac:dyDescent="0.2">
      <c r="A115" s="131" t="s">
        <v>300</v>
      </c>
      <c r="B115" s="131"/>
      <c r="C115" s="131"/>
      <c r="D115" s="132" t="s">
        <v>301</v>
      </c>
      <c r="E115" s="132" t="s">
        <v>302</v>
      </c>
      <c r="F115" s="131" t="s">
        <v>300</v>
      </c>
      <c r="G115" s="131"/>
      <c r="H115" s="131"/>
      <c r="I115" s="132" t="s">
        <v>301</v>
      </c>
      <c r="J115" s="132" t="s">
        <v>302</v>
      </c>
    </row>
    <row r="116" spans="1:10" ht="15" customHeight="1" x14ac:dyDescent="0.2">
      <c r="A116" s="134" t="str">
        <f>Establishment!D159</f>
        <v>Premier</v>
      </c>
      <c r="B116" s="134"/>
      <c r="C116" s="134"/>
      <c r="D116" s="357">
        <f>Establishment!E159</f>
        <v>0</v>
      </c>
      <c r="E116" s="133">
        <f>Establishment!C159</f>
        <v>1</v>
      </c>
      <c r="F116" s="134" t="str">
        <f>Establishment!D165</f>
        <v>Executive Officer</v>
      </c>
      <c r="G116" s="134"/>
      <c r="H116" s="134"/>
      <c r="I116" s="357" t="str">
        <f>Establishment!E165</f>
        <v>R28-22</v>
      </c>
      <c r="J116" s="133">
        <f>Establishment!C165</f>
        <v>2</v>
      </c>
    </row>
    <row r="117" spans="1:10" ht="14.25" customHeight="1" x14ac:dyDescent="0.2">
      <c r="A117" s="134" t="str">
        <f>Establishment!D160</f>
        <v>Permanent Secretary</v>
      </c>
      <c r="B117" s="134"/>
      <c r="C117" s="134"/>
      <c r="D117" s="357" t="str">
        <f>Establishment!E160</f>
        <v>R5</v>
      </c>
      <c r="E117" s="133">
        <f>Establishment!C160</f>
        <v>1</v>
      </c>
      <c r="F117" s="134" t="str">
        <f>Establishment!D166</f>
        <v>Research &amp; Database Officer</v>
      </c>
      <c r="G117" s="134"/>
      <c r="H117" s="134"/>
      <c r="I117" s="357" t="str">
        <f>Establishment!E166</f>
        <v>R28-22</v>
      </c>
      <c r="J117" s="133">
        <f>Establishment!C166</f>
        <v>1</v>
      </c>
    </row>
    <row r="118" spans="1:10" ht="14.25" customHeight="1" x14ac:dyDescent="0.2">
      <c r="A118" s="134" t="str">
        <f>Establishment!D161</f>
        <v>Public Relations Officer</v>
      </c>
      <c r="B118" s="134"/>
      <c r="C118" s="134"/>
      <c r="D118" s="357" t="str">
        <f>Establishment!E161</f>
        <v>R14-10</v>
      </c>
      <c r="E118" s="133">
        <f>Establishment!C161</f>
        <v>1</v>
      </c>
      <c r="F118" s="134" t="str">
        <f>Establishment!D167</f>
        <v>Clerical Officer (Snr)</v>
      </c>
      <c r="G118" s="134"/>
      <c r="H118" s="134"/>
      <c r="I118" s="357" t="str">
        <f>Establishment!E167</f>
        <v>R33-29</v>
      </c>
      <c r="J118" s="133">
        <f>Establishment!C167</f>
        <v>2</v>
      </c>
    </row>
    <row r="119" spans="1:10" ht="14.25" customHeight="1" x14ac:dyDescent="0.2">
      <c r="A119" s="134" t="str">
        <f>Establishment!D162</f>
        <v>Monitoring &amp; Evaluation Officer</v>
      </c>
      <c r="B119" s="134"/>
      <c r="C119" s="134"/>
      <c r="D119" s="357" t="str">
        <f>Establishment!E162</f>
        <v>R17-13</v>
      </c>
      <c r="E119" s="133">
        <f>Establishment!C162</f>
        <v>1</v>
      </c>
      <c r="F119" s="134" t="str">
        <f>Establishment!D168</f>
        <v>Clerical Officer</v>
      </c>
      <c r="G119" s="134"/>
      <c r="H119" s="134"/>
      <c r="I119" s="357" t="str">
        <f>Establishment!E168</f>
        <v>R46-34</v>
      </c>
      <c r="J119" s="133">
        <f>Establishment!C168</f>
        <v>2</v>
      </c>
    </row>
    <row r="120" spans="1:10" ht="14.25" customHeight="1" x14ac:dyDescent="0.2">
      <c r="A120" s="134" t="str">
        <f>Establishment!D164</f>
        <v>Assistant Secretary, Protocol &amp; Services</v>
      </c>
      <c r="B120" s="134"/>
      <c r="C120" s="134"/>
      <c r="D120" s="357" t="str">
        <f>Establishment!E164</f>
        <v>R22-16</v>
      </c>
      <c r="E120" s="133">
        <f>Establishment!C164</f>
        <v>1</v>
      </c>
      <c r="F120" s="134" t="str">
        <f>Establishment!D169</f>
        <v>Office Attendant/Driver</v>
      </c>
      <c r="G120" s="134"/>
      <c r="H120" s="134"/>
      <c r="I120" s="357" t="str">
        <f>Establishment!E169</f>
        <v>R46-34</v>
      </c>
      <c r="J120" s="133">
        <f>Establishment!C169</f>
        <v>1</v>
      </c>
    </row>
    <row r="121" spans="1:10" ht="14.25" customHeight="1" x14ac:dyDescent="0.2">
      <c r="A121" s="203" t="s">
        <v>303</v>
      </c>
      <c r="B121" s="203"/>
      <c r="C121" s="203"/>
      <c r="D121" s="203"/>
      <c r="E121" s="203"/>
      <c r="F121" s="203"/>
      <c r="G121" s="203"/>
      <c r="H121" s="203"/>
      <c r="I121" s="203"/>
      <c r="J121" s="204">
        <f>SUM(E116:E120,J116:J120)</f>
        <v>13</v>
      </c>
    </row>
    <row r="122" spans="1:10" x14ac:dyDescent="0.2">
      <c r="A122" s="129"/>
      <c r="B122" s="129"/>
      <c r="C122" s="129"/>
      <c r="D122" s="129"/>
      <c r="E122" s="129"/>
      <c r="F122" s="179"/>
      <c r="G122" s="179"/>
      <c r="H122" s="179"/>
      <c r="I122" s="179"/>
      <c r="J122" s="179"/>
    </row>
    <row r="123" spans="1:10" x14ac:dyDescent="0.2">
      <c r="A123" s="180" t="s">
        <v>304</v>
      </c>
      <c r="B123" s="180"/>
      <c r="C123" s="180"/>
      <c r="D123" s="180"/>
      <c r="E123" s="180"/>
      <c r="F123" s="180"/>
      <c r="G123" s="180"/>
      <c r="H123" s="180"/>
      <c r="I123" s="180"/>
      <c r="J123" s="180"/>
    </row>
    <row r="124" spans="1:10" x14ac:dyDescent="0.2">
      <c r="A124" s="181" t="s">
        <v>305</v>
      </c>
      <c r="B124" s="181"/>
      <c r="C124" s="181"/>
      <c r="D124" s="181"/>
      <c r="E124" s="181"/>
      <c r="F124" s="181"/>
      <c r="G124" s="181"/>
      <c r="H124" s="181"/>
      <c r="I124" s="181"/>
      <c r="J124" s="181"/>
    </row>
    <row r="125" spans="1:10" x14ac:dyDescent="0.2">
      <c r="A125" s="296" t="s">
        <v>866</v>
      </c>
      <c r="B125" s="296"/>
      <c r="C125" s="296"/>
      <c r="D125" s="296"/>
      <c r="E125" s="296"/>
      <c r="F125" s="296"/>
      <c r="G125" s="296"/>
      <c r="H125" s="296"/>
      <c r="I125" s="296"/>
      <c r="J125" s="296"/>
    </row>
    <row r="126" spans="1:10" x14ac:dyDescent="0.2">
      <c r="A126" s="296" t="s">
        <v>867</v>
      </c>
      <c r="B126" s="296"/>
      <c r="C126" s="296"/>
      <c r="D126" s="296"/>
      <c r="E126" s="296"/>
      <c r="F126" s="296"/>
      <c r="G126" s="296"/>
      <c r="H126" s="296"/>
      <c r="I126" s="296"/>
      <c r="J126" s="296"/>
    </row>
    <row r="127" spans="1:10" x14ac:dyDescent="0.2">
      <c r="A127" s="296" t="s">
        <v>868</v>
      </c>
      <c r="B127" s="296"/>
      <c r="C127" s="296"/>
      <c r="D127" s="296"/>
      <c r="E127" s="296"/>
      <c r="F127" s="296"/>
      <c r="G127" s="296"/>
      <c r="H127" s="296"/>
      <c r="I127" s="296"/>
      <c r="J127" s="296"/>
    </row>
    <row r="128" spans="1:10" x14ac:dyDescent="0.2">
      <c r="A128" s="296" t="s">
        <v>869</v>
      </c>
      <c r="B128" s="296"/>
      <c r="C128" s="296"/>
      <c r="D128" s="296"/>
      <c r="E128" s="296"/>
      <c r="F128" s="296"/>
      <c r="G128" s="296"/>
      <c r="H128" s="296"/>
      <c r="I128" s="296"/>
      <c r="J128" s="296"/>
    </row>
    <row r="129" spans="1:10" ht="23.25" customHeight="1" x14ac:dyDescent="0.2">
      <c r="A129" s="269" t="s">
        <v>870</v>
      </c>
      <c r="B129" s="269"/>
      <c r="C129" s="269"/>
      <c r="D129" s="269"/>
      <c r="E129" s="269"/>
      <c r="F129" s="269"/>
      <c r="G129" s="269"/>
      <c r="H129" s="269"/>
      <c r="I129" s="269"/>
      <c r="J129" s="269"/>
    </row>
    <row r="130" spans="1:10" ht="15" customHeight="1" x14ac:dyDescent="0.2">
      <c r="A130" s="345"/>
      <c r="B130" s="345"/>
      <c r="C130" s="345"/>
      <c r="D130" s="345"/>
      <c r="E130" s="345"/>
      <c r="F130" s="345"/>
      <c r="G130" s="345"/>
      <c r="H130" s="345"/>
      <c r="I130" s="345"/>
      <c r="J130" s="345"/>
    </row>
    <row r="131" spans="1:10" x14ac:dyDescent="0.2">
      <c r="A131" s="183" t="s">
        <v>415</v>
      </c>
      <c r="B131" s="183"/>
      <c r="C131" s="183"/>
      <c r="D131" s="183"/>
      <c r="E131" s="183"/>
      <c r="F131" s="183"/>
      <c r="G131" s="183"/>
      <c r="H131" s="183"/>
      <c r="I131" s="183"/>
      <c r="J131" s="183"/>
    </row>
    <row r="132" spans="1:10" x14ac:dyDescent="0.2">
      <c r="A132" s="129" t="s">
        <v>871</v>
      </c>
      <c r="B132" s="129"/>
      <c r="C132" s="129"/>
      <c r="D132" s="129"/>
      <c r="E132" s="129"/>
      <c r="F132" s="129"/>
      <c r="G132" s="129"/>
      <c r="H132" s="129"/>
      <c r="I132" s="129"/>
      <c r="J132" s="129"/>
    </row>
    <row r="133" spans="1:10" x14ac:dyDescent="0.2">
      <c r="A133" s="129"/>
      <c r="B133" s="129"/>
      <c r="C133" s="129"/>
      <c r="D133" s="129"/>
      <c r="E133" s="129"/>
      <c r="F133" s="129"/>
      <c r="G133" s="129"/>
      <c r="H133" s="129"/>
      <c r="I133" s="129"/>
      <c r="J133" s="129"/>
    </row>
    <row r="134" spans="1:10" ht="21.75" customHeight="1" x14ac:dyDescent="0.2">
      <c r="A134" s="180" t="s">
        <v>315</v>
      </c>
      <c r="B134" s="180"/>
      <c r="C134" s="180"/>
      <c r="D134" s="180"/>
      <c r="E134" s="180"/>
      <c r="F134" s="184" t="s">
        <v>2995</v>
      </c>
      <c r="G134" s="184" t="s">
        <v>2996</v>
      </c>
      <c r="H134" s="184" t="s">
        <v>2997</v>
      </c>
      <c r="I134" s="184" t="s">
        <v>2998</v>
      </c>
      <c r="J134" s="184" t="s">
        <v>2999</v>
      </c>
    </row>
    <row r="135" spans="1:10" x14ac:dyDescent="0.2">
      <c r="A135" s="180" t="s">
        <v>316</v>
      </c>
      <c r="B135" s="180"/>
      <c r="C135" s="180"/>
      <c r="D135" s="180"/>
      <c r="E135" s="180"/>
      <c r="F135" s="180"/>
      <c r="G135" s="180"/>
      <c r="H135" s="180"/>
      <c r="I135" s="180"/>
      <c r="J135" s="180"/>
    </row>
    <row r="136" spans="1:10" ht="23.25" customHeight="1" x14ac:dyDescent="0.2">
      <c r="A136" s="188" t="s">
        <v>872</v>
      </c>
      <c r="B136" s="188"/>
      <c r="C136" s="188"/>
      <c r="D136" s="188"/>
      <c r="E136" s="188"/>
      <c r="F136" s="286" t="s">
        <v>873</v>
      </c>
      <c r="G136" s="286" t="s">
        <v>874</v>
      </c>
      <c r="H136" s="286" t="s">
        <v>875</v>
      </c>
      <c r="I136" s="286" t="s">
        <v>479</v>
      </c>
      <c r="J136" s="286" t="s">
        <v>479</v>
      </c>
    </row>
    <row r="137" spans="1:10" x14ac:dyDescent="0.2">
      <c r="A137" s="188" t="s">
        <v>876</v>
      </c>
      <c r="B137" s="188"/>
      <c r="C137" s="188"/>
      <c r="D137" s="188"/>
      <c r="E137" s="188"/>
      <c r="F137" s="305" t="s">
        <v>479</v>
      </c>
      <c r="G137" s="305" t="s">
        <v>480</v>
      </c>
      <c r="H137" s="305" t="s">
        <v>480</v>
      </c>
      <c r="I137" s="305">
        <v>4</v>
      </c>
      <c r="J137" s="305">
        <v>4</v>
      </c>
    </row>
    <row r="138" spans="1:10" ht="46.5" customHeight="1" x14ac:dyDescent="0.2">
      <c r="A138" s="188" t="s">
        <v>877</v>
      </c>
      <c r="B138" s="188"/>
      <c r="C138" s="188"/>
      <c r="D138" s="188"/>
      <c r="E138" s="188"/>
      <c r="F138" s="286" t="s">
        <v>878</v>
      </c>
      <c r="G138" s="286"/>
      <c r="H138" s="286" t="s">
        <v>879</v>
      </c>
      <c r="I138" s="286" t="s">
        <v>880</v>
      </c>
      <c r="J138" s="286" t="s">
        <v>480</v>
      </c>
    </row>
    <row r="139" spans="1:10" ht="24.75" customHeight="1" x14ac:dyDescent="0.2">
      <c r="A139" s="188" t="s">
        <v>881</v>
      </c>
      <c r="B139" s="188"/>
      <c r="C139" s="188"/>
      <c r="D139" s="188"/>
      <c r="E139" s="188"/>
      <c r="F139" s="286"/>
      <c r="G139" s="286" t="s">
        <v>882</v>
      </c>
      <c r="H139" s="286"/>
      <c r="I139" s="286"/>
      <c r="J139" s="286"/>
    </row>
    <row r="140" spans="1:10" ht="13.9" customHeight="1" x14ac:dyDescent="0.2">
      <c r="A140" s="188" t="s">
        <v>883</v>
      </c>
      <c r="B140" s="188"/>
      <c r="C140" s="188"/>
      <c r="D140" s="188"/>
      <c r="E140" s="188"/>
      <c r="F140" s="305"/>
      <c r="G140" s="305" t="s">
        <v>684</v>
      </c>
      <c r="H140" s="305" t="s">
        <v>684</v>
      </c>
      <c r="I140" s="305" t="s">
        <v>884</v>
      </c>
      <c r="J140" s="305" t="s">
        <v>683</v>
      </c>
    </row>
    <row r="141" spans="1:10" ht="13.9" customHeight="1" x14ac:dyDescent="0.2">
      <c r="A141" s="188" t="s">
        <v>660</v>
      </c>
      <c r="B141" s="188"/>
      <c r="C141" s="188"/>
      <c r="D141" s="188"/>
      <c r="E141" s="188"/>
      <c r="F141" s="273"/>
      <c r="G141" s="190"/>
      <c r="H141" s="190"/>
      <c r="I141" s="190"/>
      <c r="J141" s="190"/>
    </row>
    <row r="142" spans="1:10" ht="13.9" customHeight="1" x14ac:dyDescent="0.2">
      <c r="A142" s="180" t="s">
        <v>324</v>
      </c>
      <c r="B142" s="180"/>
      <c r="C142" s="180"/>
      <c r="D142" s="180"/>
      <c r="E142" s="180"/>
      <c r="F142" s="180"/>
      <c r="G142" s="180"/>
      <c r="H142" s="180"/>
      <c r="I142" s="180"/>
      <c r="J142" s="180"/>
    </row>
    <row r="143" spans="1:10" ht="13.9" customHeight="1" x14ac:dyDescent="0.2">
      <c r="A143" s="284" t="s">
        <v>885</v>
      </c>
      <c r="B143" s="284"/>
      <c r="C143" s="284"/>
      <c r="D143" s="284"/>
      <c r="E143" s="284"/>
      <c r="F143" s="273"/>
      <c r="G143" s="190"/>
      <c r="H143" s="384">
        <v>0.95</v>
      </c>
      <c r="I143" s="384">
        <v>0.95</v>
      </c>
      <c r="J143" s="384">
        <v>0.95</v>
      </c>
    </row>
    <row r="144" spans="1:10" ht="13.9" customHeight="1" x14ac:dyDescent="0.2">
      <c r="A144" s="150" t="s">
        <v>886</v>
      </c>
      <c r="B144" s="150"/>
      <c r="C144" s="150"/>
      <c r="D144" s="150"/>
      <c r="E144" s="150"/>
      <c r="F144" s="150"/>
      <c r="G144" s="150"/>
      <c r="H144" s="150"/>
      <c r="I144" s="150"/>
      <c r="J144" s="150"/>
    </row>
    <row r="145" spans="1:10" x14ac:dyDescent="0.2">
      <c r="A145" s="151" t="s">
        <v>291</v>
      </c>
      <c r="B145" s="151"/>
      <c r="C145" s="151"/>
      <c r="D145" s="101"/>
      <c r="E145" s="101"/>
      <c r="F145" s="101"/>
      <c r="G145" s="101"/>
      <c r="H145" s="101"/>
      <c r="I145" s="101"/>
      <c r="J145" s="101"/>
    </row>
    <row r="146" spans="1:10" ht="24" customHeight="1" x14ac:dyDescent="0.2">
      <c r="A146" s="129" t="s">
        <v>887</v>
      </c>
      <c r="B146" s="129"/>
      <c r="C146" s="129"/>
      <c r="D146" s="129"/>
      <c r="E146" s="129"/>
      <c r="F146" s="129"/>
      <c r="G146" s="129"/>
      <c r="H146" s="129"/>
      <c r="I146" s="129"/>
      <c r="J146" s="129"/>
    </row>
    <row r="147" spans="1:10" x14ac:dyDescent="0.2">
      <c r="A147" s="128" t="s">
        <v>293</v>
      </c>
      <c r="B147" s="128"/>
      <c r="C147" s="128"/>
      <c r="D147" s="128"/>
      <c r="E147" s="128"/>
      <c r="F147" s="128"/>
      <c r="G147" s="128"/>
      <c r="H147" s="128"/>
      <c r="I147" s="128"/>
      <c r="J147" s="128"/>
    </row>
    <row r="148" spans="1:10" ht="33.75" x14ac:dyDescent="0.2">
      <c r="A148" s="152" t="s">
        <v>243</v>
      </c>
      <c r="B148" s="151" t="s">
        <v>242</v>
      </c>
      <c r="C148" s="151"/>
      <c r="D148" s="151"/>
      <c r="E148" s="132" t="str">
        <f t="shared" ref="E148:J148" si="34">E23</f>
        <v>Actuals           2014-2015</v>
      </c>
      <c r="F148" s="132" t="str">
        <f t="shared" si="34"/>
        <v>Approved Estimates          2015-2016</v>
      </c>
      <c r="G148" s="132" t="str">
        <f t="shared" si="34"/>
        <v>Revised Estimates                 2015-2016</v>
      </c>
      <c r="H148" s="132" t="str">
        <f t="shared" si="34"/>
        <v>Budget Estimates      2016-2017</v>
      </c>
      <c r="I148" s="132" t="str">
        <f t="shared" si="34"/>
        <v>Forward Estimates     2017-2018</v>
      </c>
      <c r="J148" s="132" t="str">
        <f t="shared" si="34"/>
        <v>Forward Estimates     2018-2019</v>
      </c>
    </row>
    <row r="149" spans="1:10" x14ac:dyDescent="0.2">
      <c r="A149" s="133">
        <v>130</v>
      </c>
      <c r="B149" s="134" t="s">
        <v>888</v>
      </c>
      <c r="C149" s="134"/>
      <c r="D149" s="134"/>
      <c r="E149" s="135">
        <v>0</v>
      </c>
      <c r="F149" s="135">
        <v>150000</v>
      </c>
      <c r="G149" s="135">
        <v>192200</v>
      </c>
      <c r="H149" s="136">
        <v>150000</v>
      </c>
      <c r="I149" s="158">
        <v>150000</v>
      </c>
      <c r="J149" s="158">
        <v>150000</v>
      </c>
    </row>
    <row r="150" spans="1:10" x14ac:dyDescent="0.2">
      <c r="A150" s="133">
        <v>160</v>
      </c>
      <c r="B150" s="134" t="s">
        <v>466</v>
      </c>
      <c r="C150" s="134"/>
      <c r="D150" s="134"/>
      <c r="E150" s="135">
        <v>0</v>
      </c>
      <c r="F150" s="135">
        <v>0</v>
      </c>
      <c r="G150" s="135">
        <v>0</v>
      </c>
      <c r="H150" s="136">
        <v>0</v>
      </c>
      <c r="I150" s="158">
        <v>0</v>
      </c>
      <c r="J150" s="158">
        <v>0</v>
      </c>
    </row>
    <row r="151" spans="1:10" ht="13.9" customHeight="1" x14ac:dyDescent="0.2">
      <c r="A151" s="137" t="s">
        <v>889</v>
      </c>
      <c r="B151" s="137"/>
      <c r="C151" s="137"/>
      <c r="D151" s="137"/>
      <c r="E151" s="138">
        <f t="shared" ref="E151:J151" si="35">SUM(E149:E150)</f>
        <v>0</v>
      </c>
      <c r="F151" s="138">
        <f t="shared" si="35"/>
        <v>150000</v>
      </c>
      <c r="G151" s="138">
        <f t="shared" si="35"/>
        <v>192200</v>
      </c>
      <c r="H151" s="138">
        <f t="shared" si="35"/>
        <v>150000</v>
      </c>
      <c r="I151" s="138">
        <f t="shared" si="35"/>
        <v>150000</v>
      </c>
      <c r="J151" s="138">
        <f t="shared" si="35"/>
        <v>150000</v>
      </c>
    </row>
    <row r="152" spans="1:10" ht="13.9" customHeight="1" x14ac:dyDescent="0.2">
      <c r="A152" s="129"/>
      <c r="B152" s="129"/>
      <c r="C152" s="129"/>
      <c r="D152" s="129"/>
      <c r="E152" s="129"/>
      <c r="F152" s="129"/>
      <c r="G152" s="129"/>
      <c r="H152" s="129"/>
      <c r="I152" s="129"/>
      <c r="J152" s="129"/>
    </row>
    <row r="153" spans="1:10" ht="13.9" customHeight="1" x14ac:dyDescent="0.2">
      <c r="A153" s="128" t="s">
        <v>284</v>
      </c>
      <c r="B153" s="128"/>
      <c r="C153" s="128"/>
      <c r="D153" s="128"/>
      <c r="E153" s="128"/>
      <c r="F153" s="128"/>
      <c r="G153" s="128"/>
      <c r="H153" s="128"/>
      <c r="I153" s="128"/>
      <c r="J153" s="128"/>
    </row>
    <row r="154" spans="1:10" ht="33.75" x14ac:dyDescent="0.2">
      <c r="A154" s="152" t="s">
        <v>243</v>
      </c>
      <c r="B154" s="151" t="s">
        <v>242</v>
      </c>
      <c r="C154" s="151"/>
      <c r="D154" s="151"/>
      <c r="E154" s="132" t="str">
        <f t="shared" ref="E154:J154" si="36">E23</f>
        <v>Actuals           2014-2015</v>
      </c>
      <c r="F154" s="132" t="str">
        <f t="shared" si="36"/>
        <v>Approved Estimates          2015-2016</v>
      </c>
      <c r="G154" s="132" t="str">
        <f t="shared" si="36"/>
        <v>Revised Estimates                 2015-2016</v>
      </c>
      <c r="H154" s="132" t="str">
        <f t="shared" si="36"/>
        <v>Budget Estimates      2016-2017</v>
      </c>
      <c r="I154" s="132" t="str">
        <f t="shared" si="36"/>
        <v>Forward Estimates     2017-2018</v>
      </c>
      <c r="J154" s="132" t="str">
        <f t="shared" si="36"/>
        <v>Forward Estimates     2018-2019</v>
      </c>
    </row>
    <row r="155" spans="1:10" ht="13.9" customHeight="1" x14ac:dyDescent="0.2">
      <c r="A155" s="151" t="s">
        <v>7</v>
      </c>
      <c r="B155" s="151"/>
      <c r="C155" s="151"/>
      <c r="D155" s="151"/>
      <c r="E155" s="151"/>
      <c r="F155" s="151"/>
      <c r="G155" s="151"/>
      <c r="H155" s="151"/>
      <c r="I155" s="151"/>
      <c r="J155" s="190"/>
    </row>
    <row r="156" spans="1:10" x14ac:dyDescent="0.2">
      <c r="A156" s="133">
        <v>210</v>
      </c>
      <c r="B156" s="134" t="s">
        <v>7</v>
      </c>
      <c r="C156" s="134"/>
      <c r="D156" s="134"/>
      <c r="E156" s="135">
        <v>0</v>
      </c>
      <c r="F156" s="135">
        <v>666600</v>
      </c>
      <c r="G156" s="135">
        <v>583600</v>
      </c>
      <c r="H156" s="136">
        <v>583900</v>
      </c>
      <c r="I156" s="158">
        <v>588100</v>
      </c>
      <c r="J156" s="158">
        <v>592300</v>
      </c>
    </row>
    <row r="157" spans="1:10" ht="13.9" customHeight="1" x14ac:dyDescent="0.2">
      <c r="A157" s="133">
        <v>212</v>
      </c>
      <c r="B157" s="134" t="s">
        <v>9</v>
      </c>
      <c r="C157" s="134"/>
      <c r="D157" s="134"/>
      <c r="E157" s="135">
        <v>0</v>
      </c>
      <c r="F157" s="135">
        <v>10500</v>
      </c>
      <c r="G157" s="135">
        <v>10500</v>
      </c>
      <c r="H157" s="136">
        <v>36700</v>
      </c>
      <c r="I157" s="158">
        <v>37900</v>
      </c>
      <c r="J157" s="158">
        <v>39100</v>
      </c>
    </row>
    <row r="158" spans="1:10" ht="13.9" customHeight="1" x14ac:dyDescent="0.2">
      <c r="A158" s="133">
        <v>216</v>
      </c>
      <c r="B158" s="134" t="s">
        <v>10</v>
      </c>
      <c r="C158" s="134"/>
      <c r="D158" s="134"/>
      <c r="E158" s="135">
        <v>0</v>
      </c>
      <c r="F158" s="135">
        <v>44700</v>
      </c>
      <c r="G158" s="135">
        <v>32300</v>
      </c>
      <c r="H158" s="136">
        <v>35600</v>
      </c>
      <c r="I158" s="158">
        <v>44700</v>
      </c>
      <c r="J158" s="158">
        <v>44700</v>
      </c>
    </row>
    <row r="159" spans="1:10" ht="13.9" customHeight="1" x14ac:dyDescent="0.2">
      <c r="A159" s="133">
        <v>218</v>
      </c>
      <c r="B159" s="134" t="s">
        <v>294</v>
      </c>
      <c r="C159" s="134"/>
      <c r="D159" s="134"/>
      <c r="E159" s="135">
        <v>0</v>
      </c>
      <c r="F159" s="135">
        <v>9200</v>
      </c>
      <c r="G159" s="135">
        <v>9200</v>
      </c>
      <c r="H159" s="136">
        <v>9200</v>
      </c>
      <c r="I159" s="158">
        <v>9200</v>
      </c>
      <c r="J159" s="158">
        <v>9200</v>
      </c>
    </row>
    <row r="160" spans="1:10" ht="13.9" customHeight="1" x14ac:dyDescent="0.2">
      <c r="A160" s="156" t="s">
        <v>295</v>
      </c>
      <c r="B160" s="156"/>
      <c r="C160" s="156"/>
      <c r="D160" s="156"/>
      <c r="E160" s="157">
        <f t="shared" ref="E160:J160" si="37">SUM(E156:E159)</f>
        <v>0</v>
      </c>
      <c r="F160" s="157">
        <f t="shared" si="37"/>
        <v>731000</v>
      </c>
      <c r="G160" s="157">
        <f t="shared" si="37"/>
        <v>635600</v>
      </c>
      <c r="H160" s="157">
        <f t="shared" si="37"/>
        <v>665400</v>
      </c>
      <c r="I160" s="157">
        <f t="shared" si="37"/>
        <v>679900</v>
      </c>
      <c r="J160" s="157">
        <f t="shared" si="37"/>
        <v>685300</v>
      </c>
    </row>
    <row r="161" spans="1:10" ht="13.9" customHeight="1" x14ac:dyDescent="0.2">
      <c r="A161" s="156" t="s">
        <v>296</v>
      </c>
      <c r="B161" s="156"/>
      <c r="C161" s="156"/>
      <c r="D161" s="156"/>
      <c r="E161" s="156"/>
      <c r="F161" s="156"/>
      <c r="G161" s="156"/>
      <c r="H161" s="156"/>
      <c r="I161" s="156"/>
      <c r="J161" s="190"/>
    </row>
    <row r="162" spans="1:10" x14ac:dyDescent="0.2">
      <c r="A162" s="133">
        <v>224</v>
      </c>
      <c r="B162" s="134" t="s">
        <v>206</v>
      </c>
      <c r="C162" s="134"/>
      <c r="D162" s="134"/>
      <c r="E162" s="135">
        <v>0</v>
      </c>
      <c r="F162" s="135">
        <v>90000</v>
      </c>
      <c r="G162" s="135">
        <v>95500</v>
      </c>
      <c r="H162" s="136">
        <v>72000</v>
      </c>
      <c r="I162" s="158">
        <v>72000</v>
      </c>
      <c r="J162" s="158">
        <v>72000</v>
      </c>
    </row>
    <row r="163" spans="1:10" x14ac:dyDescent="0.2">
      <c r="A163" s="133">
        <v>226</v>
      </c>
      <c r="B163" s="134" t="s">
        <v>207</v>
      </c>
      <c r="C163" s="134"/>
      <c r="D163" s="134"/>
      <c r="E163" s="135">
        <v>0</v>
      </c>
      <c r="F163" s="135">
        <v>17000</v>
      </c>
      <c r="G163" s="135">
        <v>19700</v>
      </c>
      <c r="H163" s="136">
        <v>35000</v>
      </c>
      <c r="I163" s="158">
        <v>35000</v>
      </c>
      <c r="J163" s="158">
        <v>35000</v>
      </c>
    </row>
    <row r="164" spans="1:10" x14ac:dyDescent="0.2">
      <c r="A164" s="133">
        <v>228</v>
      </c>
      <c r="B164" s="134" t="s">
        <v>208</v>
      </c>
      <c r="C164" s="134"/>
      <c r="D164" s="134"/>
      <c r="E164" s="135">
        <v>0</v>
      </c>
      <c r="F164" s="135">
        <v>7000</v>
      </c>
      <c r="G164" s="135">
        <v>7400</v>
      </c>
      <c r="H164" s="136">
        <v>7000</v>
      </c>
      <c r="I164" s="158">
        <v>7000</v>
      </c>
      <c r="J164" s="158">
        <v>7000</v>
      </c>
    </row>
    <row r="165" spans="1:10" x14ac:dyDescent="0.2">
      <c r="A165" s="133">
        <v>229</v>
      </c>
      <c r="B165" s="134" t="s">
        <v>209</v>
      </c>
      <c r="C165" s="134"/>
      <c r="D165" s="134"/>
      <c r="E165" s="135">
        <v>0</v>
      </c>
      <c r="F165" s="135">
        <v>54000</v>
      </c>
      <c r="G165" s="135">
        <v>54600</v>
      </c>
      <c r="H165" s="136">
        <v>137600</v>
      </c>
      <c r="I165" s="158">
        <v>89700</v>
      </c>
      <c r="J165" s="158">
        <v>89700</v>
      </c>
    </row>
    <row r="166" spans="1:10" x14ac:dyDescent="0.2">
      <c r="A166" s="133">
        <v>230</v>
      </c>
      <c r="B166" s="134" t="s">
        <v>210</v>
      </c>
      <c r="C166" s="134"/>
      <c r="D166" s="134"/>
      <c r="E166" s="135">
        <v>0</v>
      </c>
      <c r="F166" s="135">
        <v>2500</v>
      </c>
      <c r="G166" s="135">
        <v>2500</v>
      </c>
      <c r="H166" s="136">
        <v>2500</v>
      </c>
      <c r="I166" s="158">
        <v>2500</v>
      </c>
      <c r="J166" s="158">
        <v>2500</v>
      </c>
    </row>
    <row r="167" spans="1:10" x14ac:dyDescent="0.2">
      <c r="A167" s="133">
        <v>232</v>
      </c>
      <c r="B167" s="134" t="s">
        <v>211</v>
      </c>
      <c r="C167" s="134"/>
      <c r="D167" s="134"/>
      <c r="E167" s="135">
        <v>0</v>
      </c>
      <c r="F167" s="135">
        <v>35000</v>
      </c>
      <c r="G167" s="135">
        <v>35500</v>
      </c>
      <c r="H167" s="136">
        <v>61400</v>
      </c>
      <c r="I167" s="158">
        <v>49300</v>
      </c>
      <c r="J167" s="158">
        <v>49300</v>
      </c>
    </row>
    <row r="168" spans="1:10" x14ac:dyDescent="0.2">
      <c r="A168" s="133">
        <v>234</v>
      </c>
      <c r="B168" s="134" t="s">
        <v>212</v>
      </c>
      <c r="C168" s="134"/>
      <c r="D168" s="134"/>
      <c r="E168" s="135">
        <v>0</v>
      </c>
      <c r="F168" s="135">
        <v>103200</v>
      </c>
      <c r="G168" s="135">
        <v>111800</v>
      </c>
      <c r="H168" s="136">
        <v>103200</v>
      </c>
      <c r="I168" s="158">
        <v>103200</v>
      </c>
      <c r="J168" s="158">
        <v>103200</v>
      </c>
    </row>
    <row r="169" spans="1:10" x14ac:dyDescent="0.2">
      <c r="A169" s="133">
        <v>236</v>
      </c>
      <c r="B169" s="134" t="s">
        <v>213</v>
      </c>
      <c r="C169" s="134"/>
      <c r="D169" s="134"/>
      <c r="E169" s="135">
        <v>0</v>
      </c>
      <c r="F169" s="135">
        <v>18600</v>
      </c>
      <c r="G169" s="135">
        <v>18700</v>
      </c>
      <c r="H169" s="136">
        <v>18600</v>
      </c>
      <c r="I169" s="158">
        <v>18600</v>
      </c>
      <c r="J169" s="158">
        <v>18600</v>
      </c>
    </row>
    <row r="170" spans="1:10" x14ac:dyDescent="0.2">
      <c r="A170" s="133">
        <v>244</v>
      </c>
      <c r="B170" s="212" t="s">
        <v>217</v>
      </c>
      <c r="C170" s="213"/>
      <c r="D170" s="214"/>
      <c r="E170" s="135">
        <v>0</v>
      </c>
      <c r="F170" s="135">
        <v>1400</v>
      </c>
      <c r="G170" s="135">
        <v>1400</v>
      </c>
      <c r="H170" s="136">
        <v>1400</v>
      </c>
      <c r="I170" s="158">
        <v>1400</v>
      </c>
      <c r="J170" s="158">
        <v>1400</v>
      </c>
    </row>
    <row r="171" spans="1:10" x14ac:dyDescent="0.2">
      <c r="A171" s="133">
        <v>246</v>
      </c>
      <c r="B171" s="134" t="s">
        <v>218</v>
      </c>
      <c r="C171" s="134"/>
      <c r="D171" s="134"/>
      <c r="E171" s="135">
        <v>0</v>
      </c>
      <c r="F171" s="135">
        <v>800</v>
      </c>
      <c r="G171" s="135">
        <v>800</v>
      </c>
      <c r="H171" s="136">
        <v>800</v>
      </c>
      <c r="I171" s="158">
        <v>800</v>
      </c>
      <c r="J171" s="158">
        <v>800</v>
      </c>
    </row>
    <row r="172" spans="1:10" x14ac:dyDescent="0.2">
      <c r="A172" s="133">
        <v>275</v>
      </c>
      <c r="B172" s="134" t="s">
        <v>228</v>
      </c>
      <c r="C172" s="134"/>
      <c r="D172" s="134"/>
      <c r="E172" s="135">
        <v>0</v>
      </c>
      <c r="F172" s="135">
        <v>2000</v>
      </c>
      <c r="G172" s="135">
        <v>2500</v>
      </c>
      <c r="H172" s="136">
        <v>2000</v>
      </c>
      <c r="I172" s="158">
        <v>2000</v>
      </c>
      <c r="J172" s="158">
        <v>2000</v>
      </c>
    </row>
    <row r="173" spans="1:10" x14ac:dyDescent="0.2">
      <c r="A173" s="133">
        <v>280</v>
      </c>
      <c r="B173" s="134" t="s">
        <v>233</v>
      </c>
      <c r="C173" s="134"/>
      <c r="D173" s="134"/>
      <c r="E173" s="135">
        <v>0</v>
      </c>
      <c r="F173" s="135">
        <v>51900</v>
      </c>
      <c r="G173" s="135">
        <v>52000</v>
      </c>
      <c r="H173" s="136">
        <v>51900</v>
      </c>
      <c r="I173" s="158">
        <v>51900</v>
      </c>
      <c r="J173" s="158">
        <v>51900</v>
      </c>
    </row>
    <row r="174" spans="1:10" ht="13.9" customHeight="1" x14ac:dyDescent="0.2">
      <c r="A174" s="156" t="s">
        <v>298</v>
      </c>
      <c r="B174" s="156"/>
      <c r="C174" s="156"/>
      <c r="D174" s="156"/>
      <c r="E174" s="157">
        <f>SUM(E162:E173)</f>
        <v>0</v>
      </c>
      <c r="F174" s="264">
        <f>SUM(F162:F173)</f>
        <v>383400</v>
      </c>
      <c r="G174" s="157">
        <f>SUM(G162:G173)</f>
        <v>402400</v>
      </c>
      <c r="H174" s="157">
        <f t="shared" ref="H174:J174" si="38">SUM(H162:H173)</f>
        <v>493400</v>
      </c>
      <c r="I174" s="157">
        <f t="shared" si="38"/>
        <v>433400</v>
      </c>
      <c r="J174" s="157">
        <f t="shared" si="38"/>
        <v>433400</v>
      </c>
    </row>
    <row r="175" spans="1:10" x14ac:dyDescent="0.2">
      <c r="A175" s="159" t="s">
        <v>299</v>
      </c>
      <c r="B175" s="159"/>
      <c r="C175" s="159"/>
      <c r="D175" s="159"/>
      <c r="E175" s="138">
        <f t="shared" ref="E175:J175" si="39">SUM(E160,E174)</f>
        <v>0</v>
      </c>
      <c r="F175" s="160">
        <f t="shared" si="39"/>
        <v>1114400</v>
      </c>
      <c r="G175" s="160">
        <f t="shared" si="39"/>
        <v>1038000</v>
      </c>
      <c r="H175" s="160">
        <f t="shared" si="39"/>
        <v>1158800</v>
      </c>
      <c r="I175" s="160">
        <f t="shared" si="39"/>
        <v>1113300</v>
      </c>
      <c r="J175" s="160">
        <f t="shared" si="39"/>
        <v>1118700</v>
      </c>
    </row>
    <row r="176" spans="1:10" ht="13.9" customHeight="1" x14ac:dyDescent="0.2">
      <c r="A176" s="129"/>
      <c r="B176" s="129"/>
      <c r="C176" s="129"/>
      <c r="D176" s="129"/>
      <c r="E176" s="129"/>
      <c r="F176" s="129"/>
      <c r="G176" s="129"/>
      <c r="H176" s="129"/>
      <c r="I176" s="129"/>
      <c r="J176" s="190"/>
    </row>
    <row r="177" spans="1:10" ht="13.9" customHeight="1" x14ac:dyDescent="0.2">
      <c r="A177" s="162" t="s">
        <v>15</v>
      </c>
      <c r="B177" s="162"/>
      <c r="C177" s="162"/>
      <c r="D177" s="162"/>
      <c r="E177" s="162"/>
      <c r="F177" s="162"/>
      <c r="G177" s="162"/>
      <c r="H177" s="162"/>
      <c r="I177" s="162"/>
      <c r="J177" s="162"/>
    </row>
    <row r="178" spans="1:10" ht="16.149999999999999" customHeight="1" x14ac:dyDescent="0.2">
      <c r="A178" s="131" t="s">
        <v>242</v>
      </c>
      <c r="B178" s="131"/>
      <c r="C178" s="131"/>
      <c r="D178" s="131"/>
      <c r="E178" s="128" t="str">
        <f t="shared" ref="E178:J178" si="40">E23</f>
        <v>Actuals           2014-2015</v>
      </c>
      <c r="F178" s="128" t="str">
        <f t="shared" si="40"/>
        <v>Approved Estimates          2015-2016</v>
      </c>
      <c r="G178" s="128" t="str">
        <f t="shared" si="40"/>
        <v>Revised Estimates                 2015-2016</v>
      </c>
      <c r="H178" s="128" t="str">
        <f t="shared" si="40"/>
        <v>Budget Estimates      2016-2017</v>
      </c>
      <c r="I178" s="128" t="str">
        <f t="shared" si="40"/>
        <v>Forward Estimates     2017-2018</v>
      </c>
      <c r="J178" s="128" t="str">
        <f t="shared" si="40"/>
        <v>Forward Estimates     2018-2019</v>
      </c>
    </row>
    <row r="179" spans="1:10" ht="17.25" customHeight="1" x14ac:dyDescent="0.2">
      <c r="A179" s="130" t="s">
        <v>243</v>
      </c>
      <c r="B179" s="130" t="s">
        <v>244</v>
      </c>
      <c r="C179" s="131" t="s">
        <v>245</v>
      </c>
      <c r="D179" s="131"/>
      <c r="E179" s="101"/>
      <c r="F179" s="101"/>
      <c r="G179" s="101"/>
      <c r="H179" s="101"/>
      <c r="I179" s="101"/>
      <c r="J179" s="101"/>
    </row>
    <row r="180" spans="1:10" ht="13.9" customHeight="1" x14ac:dyDescent="0.2">
      <c r="A180" s="163"/>
      <c r="B180" s="163"/>
      <c r="C180" s="385"/>
      <c r="D180" s="385"/>
      <c r="E180" s="158"/>
      <c r="F180" s="209"/>
      <c r="G180" s="158"/>
      <c r="H180" s="136"/>
      <c r="I180" s="158"/>
      <c r="J180" s="135"/>
    </row>
    <row r="181" spans="1:10" x14ac:dyDescent="0.2">
      <c r="A181" s="137" t="s">
        <v>15</v>
      </c>
      <c r="B181" s="137"/>
      <c r="C181" s="137"/>
      <c r="D181" s="137"/>
      <c r="E181" s="138">
        <v>0</v>
      </c>
      <c r="F181" s="138">
        <v>0</v>
      </c>
      <c r="G181" s="138">
        <v>0</v>
      </c>
      <c r="H181" s="138">
        <v>0</v>
      </c>
      <c r="I181" s="138">
        <v>0</v>
      </c>
      <c r="J181" s="138">
        <v>0</v>
      </c>
    </row>
    <row r="182" spans="1:10" x14ac:dyDescent="0.2">
      <c r="A182" s="290"/>
      <c r="B182" s="290"/>
      <c r="C182" s="290"/>
      <c r="D182" s="290"/>
      <c r="E182" s="290"/>
      <c r="F182" s="290"/>
      <c r="G182" s="290"/>
      <c r="H182" s="290"/>
      <c r="I182" s="290"/>
      <c r="J182" s="290"/>
    </row>
    <row r="183" spans="1:10" x14ac:dyDescent="0.2">
      <c r="A183" s="161" t="s">
        <v>288</v>
      </c>
      <c r="B183" s="161"/>
      <c r="C183" s="161"/>
      <c r="D183" s="161"/>
      <c r="E183" s="161"/>
      <c r="F183" s="202"/>
      <c r="G183" s="202"/>
      <c r="H183" s="202"/>
      <c r="I183" s="202"/>
      <c r="J183" s="202"/>
    </row>
    <row r="184" spans="1:10" ht="13.9" customHeight="1" x14ac:dyDescent="0.2">
      <c r="A184" s="131" t="s">
        <v>300</v>
      </c>
      <c r="B184" s="131"/>
      <c r="C184" s="131"/>
      <c r="D184" s="132" t="s">
        <v>301</v>
      </c>
      <c r="E184" s="132" t="s">
        <v>302</v>
      </c>
      <c r="F184" s="131" t="s">
        <v>300</v>
      </c>
      <c r="G184" s="131"/>
      <c r="H184" s="131"/>
      <c r="I184" s="132" t="s">
        <v>301</v>
      </c>
      <c r="J184" s="132" t="s">
        <v>302</v>
      </c>
    </row>
    <row r="185" spans="1:10" ht="13.9" customHeight="1" x14ac:dyDescent="0.2">
      <c r="A185" s="134" t="str">
        <f>Establishment!D173</f>
        <v>Director, Information &amp; Communication</v>
      </c>
      <c r="B185" s="134"/>
      <c r="C185" s="134"/>
      <c r="D185" s="133" t="str">
        <f>Establishment!E173</f>
        <v>R7</v>
      </c>
      <c r="E185" s="133">
        <f>Establishment!C173</f>
        <v>1</v>
      </c>
      <c r="F185" s="134" t="str">
        <f>Establishment!D180</f>
        <v>Engineer Assistant</v>
      </c>
      <c r="G185" s="134"/>
      <c r="H185" s="134"/>
      <c r="I185" s="133" t="str">
        <f>Establishment!E180</f>
        <v>R28-22</v>
      </c>
      <c r="J185" s="133">
        <f>Establishment!C180</f>
        <v>1</v>
      </c>
    </row>
    <row r="186" spans="1:10" ht="13.9" customHeight="1" x14ac:dyDescent="0.2">
      <c r="A186" s="134" t="str">
        <f>Establishment!D174</f>
        <v>Broadcast Manager</v>
      </c>
      <c r="B186" s="134"/>
      <c r="C186" s="134"/>
      <c r="D186" s="133" t="str">
        <f>Establishment!E174</f>
        <v>R17-13/14-10</v>
      </c>
      <c r="E186" s="133">
        <f>Establishment!C174</f>
        <v>1</v>
      </c>
      <c r="F186" s="134" t="str">
        <f>Establishment!D181</f>
        <v>Reporter</v>
      </c>
      <c r="G186" s="134"/>
      <c r="H186" s="134"/>
      <c r="I186" s="133" t="str">
        <f>Establishment!E181</f>
        <v>R33-29</v>
      </c>
      <c r="J186" s="133">
        <f>Establishment!C181</f>
        <v>3</v>
      </c>
    </row>
    <row r="187" spans="1:10" ht="13.9" customHeight="1" x14ac:dyDescent="0.2">
      <c r="A187" s="134" t="str">
        <f>Establishment!D175</f>
        <v>Executive Producer</v>
      </c>
      <c r="B187" s="134"/>
      <c r="C187" s="134"/>
      <c r="D187" s="133" t="str">
        <f>Establishment!E175</f>
        <v>R26-20/22-16</v>
      </c>
      <c r="E187" s="133">
        <f>Establishment!C175</f>
        <v>1</v>
      </c>
      <c r="F187" s="134" t="str">
        <f>Establishment!D182</f>
        <v>Audio-Videographer</v>
      </c>
      <c r="G187" s="134"/>
      <c r="H187" s="134"/>
      <c r="I187" s="133" t="str">
        <f>Establishment!E182</f>
        <v>R46-34</v>
      </c>
      <c r="J187" s="133">
        <f>Establishment!C182</f>
        <v>3</v>
      </c>
    </row>
    <row r="188" spans="1:10" ht="14.25" customHeight="1" x14ac:dyDescent="0.2">
      <c r="A188" s="134" t="str">
        <f>Establishment!D176</f>
        <v>Broadcast Engineer</v>
      </c>
      <c r="B188" s="134"/>
      <c r="C188" s="134"/>
      <c r="D188" s="133" t="str">
        <f>Establishment!E176</f>
        <v>R28-22/22-16</v>
      </c>
      <c r="E188" s="133">
        <f>Establishment!C176</f>
        <v>1</v>
      </c>
      <c r="F188" s="134" t="str">
        <f>Establishment!D183</f>
        <v>Clerical Officer (Snr)</v>
      </c>
      <c r="G188" s="134"/>
      <c r="H188" s="134"/>
      <c r="I188" s="133" t="str">
        <f>Establishment!E183</f>
        <v>R33-29</v>
      </c>
      <c r="J188" s="133">
        <f>Establishment!C183</f>
        <v>1</v>
      </c>
    </row>
    <row r="189" spans="1:10" ht="13.9" customHeight="1" x14ac:dyDescent="0.2">
      <c r="A189" s="134" t="str">
        <f>Establishment!D177</f>
        <v>Senior Announcer</v>
      </c>
      <c r="B189" s="134"/>
      <c r="C189" s="134"/>
      <c r="D189" s="133" t="str">
        <f>Establishment!E177</f>
        <v>R28-22/22-16</v>
      </c>
      <c r="E189" s="133">
        <f>Establishment!C177</f>
        <v>1</v>
      </c>
      <c r="F189" s="134" t="str">
        <f>Establishment!D184</f>
        <v>Office Attendant/Driver</v>
      </c>
      <c r="G189" s="134"/>
      <c r="H189" s="134"/>
      <c r="I189" s="133" t="str">
        <f>Establishment!E184</f>
        <v>R46-34</v>
      </c>
      <c r="J189" s="133">
        <f>Establishment!C184</f>
        <v>1</v>
      </c>
    </row>
    <row r="190" spans="1:10" ht="14.25" customHeight="1" x14ac:dyDescent="0.2">
      <c r="A190" s="134" t="str">
        <f>Establishment!D178</f>
        <v>Multi-Media Editor</v>
      </c>
      <c r="B190" s="134"/>
      <c r="C190" s="134"/>
      <c r="D190" s="133" t="str">
        <f>Establishment!E178</f>
        <v>R28-22/22-16</v>
      </c>
      <c r="E190" s="133">
        <f>Establishment!C178</f>
        <v>1</v>
      </c>
      <c r="F190" s="134" t="str">
        <f>Establishment!D188</f>
        <v>Assistant Driver</v>
      </c>
      <c r="G190" s="134"/>
      <c r="H190" s="134"/>
      <c r="I190" s="133" t="str">
        <f>Establishment!E188</f>
        <v>W</v>
      </c>
      <c r="J190" s="133">
        <f>Establishment!C188</f>
        <v>1</v>
      </c>
    </row>
    <row r="191" spans="1:10" ht="13.9" customHeight="1" x14ac:dyDescent="0.2">
      <c r="A191" s="134" t="str">
        <f>Establishment!D179</f>
        <v>Radio Announcer</v>
      </c>
      <c r="B191" s="134"/>
      <c r="C191" s="134"/>
      <c r="D191" s="133" t="str">
        <f>Establishment!E179</f>
        <v>R46-34/33-29</v>
      </c>
      <c r="E191" s="133">
        <f>Establishment!C179</f>
        <v>2</v>
      </c>
      <c r="F191" s="134"/>
      <c r="G191" s="134"/>
      <c r="H191" s="134"/>
      <c r="I191" s="133"/>
      <c r="J191" s="133"/>
    </row>
    <row r="192" spans="1:10" ht="14.25" customHeight="1" x14ac:dyDescent="0.2">
      <c r="A192" s="203" t="s">
        <v>303</v>
      </c>
      <c r="B192" s="203"/>
      <c r="C192" s="203"/>
      <c r="D192" s="203"/>
      <c r="E192" s="203"/>
      <c r="F192" s="203"/>
      <c r="G192" s="203"/>
      <c r="H192" s="203"/>
      <c r="I192" s="203"/>
      <c r="J192" s="204">
        <f>SUM(E185:E191,J185:J191)</f>
        <v>18</v>
      </c>
    </row>
    <row r="193" spans="1:10" x14ac:dyDescent="0.2">
      <c r="A193" s="129"/>
      <c r="B193" s="129"/>
      <c r="C193" s="129"/>
      <c r="D193" s="129"/>
      <c r="E193" s="129"/>
      <c r="F193" s="179"/>
      <c r="G193" s="179"/>
      <c r="H193" s="179"/>
      <c r="I193" s="179"/>
      <c r="J193" s="179"/>
    </row>
    <row r="194" spans="1:10" x14ac:dyDescent="0.2">
      <c r="A194" s="180" t="s">
        <v>304</v>
      </c>
      <c r="B194" s="180"/>
      <c r="C194" s="180"/>
      <c r="D194" s="180"/>
      <c r="E194" s="180"/>
      <c r="F194" s="180"/>
      <c r="G194" s="180"/>
      <c r="H194" s="180"/>
      <c r="I194" s="180"/>
      <c r="J194" s="180"/>
    </row>
    <row r="195" spans="1:10" x14ac:dyDescent="0.2">
      <c r="A195" s="181" t="s">
        <v>305</v>
      </c>
      <c r="B195" s="181"/>
      <c r="C195" s="181"/>
      <c r="D195" s="181"/>
      <c r="E195" s="181"/>
      <c r="F195" s="181"/>
      <c r="G195" s="181"/>
      <c r="H195" s="181"/>
      <c r="I195" s="181"/>
      <c r="J195" s="181"/>
    </row>
    <row r="196" spans="1:10" x14ac:dyDescent="0.2">
      <c r="A196" s="129" t="s">
        <v>890</v>
      </c>
      <c r="B196" s="129"/>
      <c r="C196" s="129"/>
      <c r="D196" s="129"/>
      <c r="E196" s="129"/>
      <c r="F196" s="129"/>
      <c r="G196" s="129"/>
      <c r="H196" s="129"/>
      <c r="I196" s="129"/>
      <c r="J196" s="129"/>
    </row>
    <row r="197" spans="1:10" x14ac:dyDescent="0.2">
      <c r="A197" s="129" t="s">
        <v>891</v>
      </c>
      <c r="B197" s="129"/>
      <c r="C197" s="129"/>
      <c r="D197" s="129"/>
      <c r="E197" s="129"/>
      <c r="F197" s="129"/>
      <c r="G197" s="129"/>
      <c r="H197" s="129"/>
      <c r="I197" s="129"/>
      <c r="J197" s="129"/>
    </row>
    <row r="198" spans="1:10" x14ac:dyDescent="0.2">
      <c r="A198" s="129" t="s">
        <v>892</v>
      </c>
      <c r="B198" s="129"/>
      <c r="C198" s="129"/>
      <c r="D198" s="129"/>
      <c r="E198" s="129"/>
      <c r="F198" s="129"/>
      <c r="G198" s="129"/>
      <c r="H198" s="129"/>
      <c r="I198" s="129"/>
      <c r="J198" s="129"/>
    </row>
    <row r="199" spans="1:10" x14ac:dyDescent="0.2">
      <c r="A199" s="129" t="s">
        <v>893</v>
      </c>
      <c r="B199" s="129"/>
      <c r="C199" s="129"/>
      <c r="D199" s="129"/>
      <c r="E199" s="129"/>
      <c r="F199" s="129"/>
      <c r="G199" s="129"/>
      <c r="H199" s="129"/>
      <c r="I199" s="129"/>
      <c r="J199" s="129"/>
    </row>
    <row r="200" spans="1:10" x14ac:dyDescent="0.2">
      <c r="A200" s="129"/>
      <c r="B200" s="129"/>
      <c r="C200" s="129"/>
      <c r="D200" s="129"/>
      <c r="E200" s="129"/>
      <c r="F200" s="129"/>
      <c r="G200" s="129"/>
      <c r="H200" s="129"/>
      <c r="I200" s="129"/>
      <c r="J200" s="129"/>
    </row>
    <row r="201" spans="1:10" x14ac:dyDescent="0.2">
      <c r="A201" s="183" t="s">
        <v>415</v>
      </c>
      <c r="B201" s="183"/>
      <c r="C201" s="183"/>
      <c r="D201" s="183"/>
      <c r="E201" s="183"/>
      <c r="F201" s="183"/>
      <c r="G201" s="183"/>
      <c r="H201" s="183"/>
      <c r="I201" s="183"/>
      <c r="J201" s="183"/>
    </row>
    <row r="202" spans="1:10" x14ac:dyDescent="0.2">
      <c r="A202" s="129"/>
      <c r="B202" s="129"/>
      <c r="C202" s="129"/>
      <c r="D202" s="129"/>
      <c r="E202" s="129"/>
      <c r="F202" s="129"/>
      <c r="G202" s="129"/>
      <c r="H202" s="129"/>
      <c r="I202" s="129"/>
      <c r="J202" s="129"/>
    </row>
    <row r="203" spans="1:10" ht="13.9" customHeight="1" x14ac:dyDescent="0.2">
      <c r="A203" s="129"/>
      <c r="B203" s="129"/>
      <c r="C203" s="129"/>
      <c r="D203" s="129"/>
      <c r="E203" s="129"/>
      <c r="F203" s="129"/>
      <c r="G203" s="129"/>
      <c r="H203" s="129"/>
      <c r="I203" s="129"/>
      <c r="J203" s="129"/>
    </row>
    <row r="204" spans="1:10" ht="22.5" x14ac:dyDescent="0.2">
      <c r="A204" s="180" t="s">
        <v>315</v>
      </c>
      <c r="B204" s="180"/>
      <c r="C204" s="180"/>
      <c r="D204" s="180"/>
      <c r="E204" s="180"/>
      <c r="F204" s="184" t="str">
        <f>F134</f>
        <v xml:space="preserve"> Actual 2014-2015</v>
      </c>
      <c r="G204" s="184" t="str">
        <f>G134</f>
        <v xml:space="preserve"> Estimate 2015-2016</v>
      </c>
      <c r="H204" s="184" t="str">
        <f>H134</f>
        <v xml:space="preserve"> Target 2016-2017</v>
      </c>
      <c r="I204" s="184" t="str">
        <f>I134</f>
        <v xml:space="preserve"> Target 2017-2018</v>
      </c>
      <c r="J204" s="184" t="str">
        <f>J134</f>
        <v xml:space="preserve"> Target 2018-2019</v>
      </c>
    </row>
    <row r="205" spans="1:10" x14ac:dyDescent="0.2">
      <c r="A205" s="180" t="s">
        <v>316</v>
      </c>
      <c r="B205" s="180"/>
      <c r="C205" s="180"/>
      <c r="D205" s="180"/>
      <c r="E205" s="180"/>
      <c r="F205" s="180"/>
      <c r="G205" s="180"/>
      <c r="H205" s="180"/>
      <c r="I205" s="180"/>
      <c r="J205" s="180"/>
    </row>
    <row r="206" spans="1:10" x14ac:dyDescent="0.2">
      <c r="A206" s="188" t="s">
        <v>894</v>
      </c>
      <c r="B206" s="188"/>
      <c r="C206" s="188"/>
      <c r="D206" s="188"/>
      <c r="E206" s="188"/>
      <c r="F206" s="305">
        <v>15</v>
      </c>
      <c r="G206" s="305">
        <v>15</v>
      </c>
      <c r="H206" s="305">
        <v>17</v>
      </c>
      <c r="I206" s="305">
        <v>20</v>
      </c>
      <c r="J206" s="305">
        <v>20</v>
      </c>
    </row>
    <row r="207" spans="1:10" x14ac:dyDescent="0.2">
      <c r="A207" s="188" t="s">
        <v>895</v>
      </c>
      <c r="B207" s="188"/>
      <c r="C207" s="188"/>
      <c r="D207" s="188"/>
      <c r="E207" s="188"/>
      <c r="F207" s="305">
        <v>5</v>
      </c>
      <c r="G207" s="305">
        <v>5</v>
      </c>
      <c r="H207" s="305">
        <v>3</v>
      </c>
      <c r="I207" s="305">
        <v>3</v>
      </c>
      <c r="J207" s="305"/>
    </row>
    <row r="208" spans="1:10" x14ac:dyDescent="0.2">
      <c r="A208" s="188" t="s">
        <v>896</v>
      </c>
      <c r="B208" s="188"/>
      <c r="C208" s="188"/>
      <c r="D208" s="188"/>
      <c r="E208" s="188"/>
      <c r="F208" s="305">
        <v>1</v>
      </c>
      <c r="G208" s="305">
        <v>1</v>
      </c>
      <c r="H208" s="305">
        <v>1</v>
      </c>
      <c r="I208" s="305">
        <v>1</v>
      </c>
      <c r="J208" s="305">
        <v>1</v>
      </c>
    </row>
    <row r="209" spans="1:10" ht="33.75" x14ac:dyDescent="0.2">
      <c r="A209" s="188" t="s">
        <v>897</v>
      </c>
      <c r="B209" s="188"/>
      <c r="C209" s="188"/>
      <c r="D209" s="188"/>
      <c r="E209" s="188"/>
      <c r="F209" s="286"/>
      <c r="G209" s="286" t="s">
        <v>898</v>
      </c>
      <c r="H209" s="286" t="s">
        <v>899</v>
      </c>
      <c r="I209" s="286" t="s">
        <v>900</v>
      </c>
      <c r="J209" s="286"/>
    </row>
    <row r="210" spans="1:10" ht="45" x14ac:dyDescent="0.2">
      <c r="A210" s="188" t="s">
        <v>901</v>
      </c>
      <c r="B210" s="188"/>
      <c r="C210" s="188"/>
      <c r="D210" s="188"/>
      <c r="E210" s="188"/>
      <c r="F210" s="286"/>
      <c r="G210" s="286"/>
      <c r="H210" s="286" t="s">
        <v>902</v>
      </c>
      <c r="I210" s="286"/>
      <c r="J210" s="286"/>
    </row>
    <row r="211" spans="1:10" ht="33.75" x14ac:dyDescent="0.2">
      <c r="A211" s="188"/>
      <c r="B211" s="188"/>
      <c r="C211" s="188"/>
      <c r="D211" s="188"/>
      <c r="E211" s="188"/>
      <c r="F211" s="286"/>
      <c r="G211" s="286"/>
      <c r="H211" s="286" t="s">
        <v>903</v>
      </c>
      <c r="I211" s="286"/>
      <c r="J211" s="286"/>
    </row>
    <row r="212" spans="1:10" x14ac:dyDescent="0.2">
      <c r="A212" s="188" t="s">
        <v>660</v>
      </c>
      <c r="B212" s="188"/>
      <c r="C212" s="188"/>
      <c r="D212" s="188"/>
      <c r="E212" s="188"/>
      <c r="F212" s="273"/>
      <c r="G212" s="190"/>
      <c r="H212" s="190"/>
      <c r="I212" s="190"/>
      <c r="J212" s="190"/>
    </row>
    <row r="213" spans="1:10" x14ac:dyDescent="0.2">
      <c r="A213" s="180" t="s">
        <v>324</v>
      </c>
      <c r="B213" s="180"/>
      <c r="C213" s="180"/>
      <c r="D213" s="180"/>
      <c r="E213" s="180"/>
      <c r="F213" s="180"/>
      <c r="G213" s="180"/>
      <c r="H213" s="180"/>
      <c r="I213" s="180"/>
      <c r="J213" s="180"/>
    </row>
    <row r="214" spans="1:10" ht="22.5" x14ac:dyDescent="0.2">
      <c r="A214" s="188" t="s">
        <v>904</v>
      </c>
      <c r="B214" s="188"/>
      <c r="C214" s="188"/>
      <c r="D214" s="188"/>
      <c r="E214" s="188"/>
      <c r="F214" s="386"/>
      <c r="G214" s="386" t="s">
        <v>905</v>
      </c>
      <c r="H214" s="386" t="s">
        <v>906</v>
      </c>
      <c r="I214" s="386" t="s">
        <v>907</v>
      </c>
      <c r="J214" s="386"/>
    </row>
    <row r="215" spans="1:10" x14ac:dyDescent="0.2">
      <c r="A215" s="188" t="s">
        <v>908</v>
      </c>
      <c r="B215" s="188"/>
      <c r="C215" s="188"/>
      <c r="D215" s="188"/>
      <c r="E215" s="188"/>
      <c r="F215" s="386"/>
      <c r="G215" s="386">
        <v>0.85</v>
      </c>
      <c r="H215" s="386">
        <v>0.9</v>
      </c>
      <c r="I215" s="386">
        <v>0.95</v>
      </c>
      <c r="J215" s="386"/>
    </row>
    <row r="216" spans="1:10" x14ac:dyDescent="0.2">
      <c r="A216" s="188" t="s">
        <v>909</v>
      </c>
      <c r="B216" s="188"/>
      <c r="C216" s="188"/>
      <c r="D216" s="188"/>
      <c r="E216" s="188"/>
      <c r="F216" s="386"/>
      <c r="G216" s="386">
        <v>0.7</v>
      </c>
      <c r="H216" s="386">
        <v>0.75</v>
      </c>
      <c r="I216" s="386">
        <v>0.8</v>
      </c>
      <c r="J216" s="386"/>
    </row>
    <row r="217" spans="1:10" x14ac:dyDescent="0.2">
      <c r="A217" s="307"/>
      <c r="B217" s="308"/>
      <c r="C217" s="308"/>
      <c r="D217" s="308"/>
      <c r="E217" s="308"/>
      <c r="F217" s="308"/>
      <c r="G217" s="308"/>
      <c r="H217" s="308"/>
      <c r="I217" s="308"/>
      <c r="J217" s="309"/>
    </row>
    <row r="219" spans="1:10" x14ac:dyDescent="0.2">
      <c r="A219" s="150" t="s">
        <v>910</v>
      </c>
      <c r="B219" s="150"/>
      <c r="C219" s="150"/>
      <c r="D219" s="150"/>
      <c r="E219" s="150"/>
      <c r="F219" s="150"/>
      <c r="G219" s="150"/>
      <c r="H219" s="150"/>
      <c r="I219" s="150"/>
      <c r="J219" s="150"/>
    </row>
    <row r="220" spans="1:10" x14ac:dyDescent="0.2">
      <c r="A220" s="151" t="s">
        <v>291</v>
      </c>
      <c r="B220" s="151"/>
      <c r="C220" s="151"/>
      <c r="D220" s="101"/>
      <c r="E220" s="101"/>
      <c r="F220" s="101"/>
      <c r="G220" s="101"/>
      <c r="H220" s="101"/>
      <c r="I220" s="101"/>
      <c r="J220" s="101"/>
    </row>
    <row r="221" spans="1:10" ht="22.5" customHeight="1" x14ac:dyDescent="0.2">
      <c r="A221" s="129" t="s">
        <v>911</v>
      </c>
      <c r="B221" s="129"/>
      <c r="C221" s="129"/>
      <c r="D221" s="129"/>
      <c r="E221" s="129"/>
      <c r="F221" s="129"/>
      <c r="G221" s="129"/>
      <c r="H221" s="129"/>
      <c r="I221" s="129"/>
      <c r="J221" s="129"/>
    </row>
    <row r="222" spans="1:10" x14ac:dyDescent="0.2">
      <c r="A222" s="128" t="s">
        <v>293</v>
      </c>
      <c r="B222" s="128"/>
      <c r="C222" s="128"/>
      <c r="D222" s="128"/>
      <c r="E222" s="128"/>
      <c r="F222" s="128"/>
      <c r="G222" s="128"/>
      <c r="H222" s="128"/>
      <c r="I222" s="128"/>
      <c r="J222" s="128"/>
    </row>
    <row r="223" spans="1:10" ht="33.75" x14ac:dyDescent="0.2">
      <c r="A223" s="152" t="s">
        <v>243</v>
      </c>
      <c r="B223" s="151" t="s">
        <v>242</v>
      </c>
      <c r="C223" s="151"/>
      <c r="D223" s="151"/>
      <c r="E223" s="132" t="str">
        <f t="shared" ref="E223:J223" si="41">E23</f>
        <v>Actuals           2014-2015</v>
      </c>
      <c r="F223" s="132" t="str">
        <f t="shared" si="41"/>
        <v>Approved Estimates          2015-2016</v>
      </c>
      <c r="G223" s="132" t="str">
        <f t="shared" si="41"/>
        <v>Revised Estimates                 2015-2016</v>
      </c>
      <c r="H223" s="132" t="str">
        <f t="shared" si="41"/>
        <v>Budget Estimates      2016-2017</v>
      </c>
      <c r="I223" s="132" t="str">
        <f t="shared" si="41"/>
        <v>Forward Estimates     2017-2018</v>
      </c>
      <c r="J223" s="132" t="str">
        <f t="shared" si="41"/>
        <v>Forward Estimates     2018-2019</v>
      </c>
    </row>
    <row r="224" spans="1:10" x14ac:dyDescent="0.2">
      <c r="A224" s="133"/>
      <c r="B224" s="134"/>
      <c r="C224" s="134"/>
      <c r="D224" s="134"/>
      <c r="E224" s="135"/>
      <c r="F224" s="262"/>
      <c r="G224" s="135"/>
      <c r="H224" s="136"/>
      <c r="I224" s="158"/>
      <c r="J224" s="158"/>
    </row>
    <row r="225" spans="1:10" x14ac:dyDescent="0.2">
      <c r="A225" s="137" t="s">
        <v>840</v>
      </c>
      <c r="B225" s="137"/>
      <c r="C225" s="137"/>
      <c r="D225" s="137"/>
      <c r="E225" s="138">
        <f t="shared" ref="E225:J225" si="42">SUM(E224:E224)</f>
        <v>0</v>
      </c>
      <c r="F225" s="138">
        <f t="shared" si="42"/>
        <v>0</v>
      </c>
      <c r="G225" s="138">
        <f t="shared" si="42"/>
        <v>0</v>
      </c>
      <c r="H225" s="138">
        <f t="shared" si="42"/>
        <v>0</v>
      </c>
      <c r="I225" s="138">
        <f t="shared" si="42"/>
        <v>0</v>
      </c>
      <c r="J225" s="138">
        <f t="shared" si="42"/>
        <v>0</v>
      </c>
    </row>
    <row r="226" spans="1:10" x14ac:dyDescent="0.2">
      <c r="A226" s="129"/>
      <c r="B226" s="129"/>
      <c r="C226" s="129"/>
      <c r="D226" s="129"/>
      <c r="E226" s="129"/>
      <c r="F226" s="129"/>
      <c r="G226" s="129"/>
      <c r="H226" s="129"/>
      <c r="I226" s="129"/>
      <c r="J226" s="129"/>
    </row>
    <row r="227" spans="1:10" x14ac:dyDescent="0.2">
      <c r="A227" s="128" t="s">
        <v>284</v>
      </c>
      <c r="B227" s="128"/>
      <c r="C227" s="128"/>
      <c r="D227" s="128"/>
      <c r="E227" s="128"/>
      <c r="F227" s="128"/>
      <c r="G227" s="128"/>
      <c r="H227" s="128"/>
      <c r="I227" s="128"/>
      <c r="J227" s="128"/>
    </row>
    <row r="228" spans="1:10" ht="33.75" x14ac:dyDescent="0.2">
      <c r="A228" s="152" t="s">
        <v>243</v>
      </c>
      <c r="B228" s="151" t="s">
        <v>242</v>
      </c>
      <c r="C228" s="151"/>
      <c r="D228" s="151"/>
      <c r="E228" s="132" t="str">
        <f t="shared" ref="E228:J228" si="43">E23</f>
        <v>Actuals           2014-2015</v>
      </c>
      <c r="F228" s="132" t="str">
        <f t="shared" si="43"/>
        <v>Approved Estimates          2015-2016</v>
      </c>
      <c r="G228" s="132" t="str">
        <f t="shared" si="43"/>
        <v>Revised Estimates                 2015-2016</v>
      </c>
      <c r="H228" s="132" t="str">
        <f t="shared" si="43"/>
        <v>Budget Estimates      2016-2017</v>
      </c>
      <c r="I228" s="132" t="str">
        <f t="shared" si="43"/>
        <v>Forward Estimates     2017-2018</v>
      </c>
      <c r="J228" s="132" t="str">
        <f t="shared" si="43"/>
        <v>Forward Estimates     2018-2019</v>
      </c>
    </row>
    <row r="229" spans="1:10" x14ac:dyDescent="0.2">
      <c r="A229" s="151" t="s">
        <v>7</v>
      </c>
      <c r="B229" s="151"/>
      <c r="C229" s="151"/>
      <c r="D229" s="151"/>
      <c r="E229" s="151"/>
      <c r="F229" s="151"/>
      <c r="G229" s="151"/>
      <c r="H229" s="151"/>
      <c r="I229" s="151"/>
      <c r="J229" s="190"/>
    </row>
    <row r="230" spans="1:10" x14ac:dyDescent="0.2">
      <c r="A230" s="207">
        <v>210</v>
      </c>
      <c r="B230" s="129" t="s">
        <v>7</v>
      </c>
      <c r="C230" s="101"/>
      <c r="D230" s="101"/>
      <c r="E230" s="211">
        <v>204050</v>
      </c>
      <c r="F230" s="209">
        <v>132100</v>
      </c>
      <c r="G230" s="211">
        <v>105100</v>
      </c>
      <c r="H230" s="210">
        <v>107700</v>
      </c>
      <c r="I230" s="211">
        <v>132100</v>
      </c>
      <c r="J230" s="211">
        <v>132100</v>
      </c>
    </row>
    <row r="231" spans="1:10" x14ac:dyDescent="0.2">
      <c r="A231" s="207">
        <v>212</v>
      </c>
      <c r="B231" s="129" t="s">
        <v>9</v>
      </c>
      <c r="C231" s="101"/>
      <c r="D231" s="101"/>
      <c r="E231" s="211">
        <v>0</v>
      </c>
      <c r="F231" s="209">
        <v>0</v>
      </c>
      <c r="G231" s="211">
        <v>0</v>
      </c>
      <c r="H231" s="210">
        <v>0</v>
      </c>
      <c r="I231" s="211">
        <v>0</v>
      </c>
      <c r="J231" s="211">
        <v>0</v>
      </c>
    </row>
    <row r="232" spans="1:10" x14ac:dyDescent="0.2">
      <c r="A232" s="207">
        <v>216</v>
      </c>
      <c r="B232" s="129" t="s">
        <v>10</v>
      </c>
      <c r="C232" s="101"/>
      <c r="D232" s="101"/>
      <c r="E232" s="211">
        <v>29750</v>
      </c>
      <c r="F232" s="209">
        <v>23600</v>
      </c>
      <c r="G232" s="211">
        <v>21000</v>
      </c>
      <c r="H232" s="210">
        <v>52400</v>
      </c>
      <c r="I232" s="211">
        <v>52400</v>
      </c>
      <c r="J232" s="211">
        <v>52400</v>
      </c>
    </row>
    <row r="233" spans="1:10" x14ac:dyDescent="0.2">
      <c r="A233" s="207">
        <v>218</v>
      </c>
      <c r="B233" s="129" t="s">
        <v>294</v>
      </c>
      <c r="C233" s="101"/>
      <c r="D233" s="101"/>
      <c r="E233" s="211">
        <v>9142.5</v>
      </c>
      <c r="F233" s="209">
        <v>0</v>
      </c>
      <c r="G233" s="211">
        <v>0</v>
      </c>
      <c r="H233" s="210">
        <v>0</v>
      </c>
      <c r="I233" s="211">
        <v>0</v>
      </c>
      <c r="J233" s="211">
        <v>0</v>
      </c>
    </row>
    <row r="234" spans="1:10" x14ac:dyDescent="0.2">
      <c r="A234" s="156" t="s">
        <v>295</v>
      </c>
      <c r="B234" s="156"/>
      <c r="C234" s="156"/>
      <c r="D234" s="156"/>
      <c r="E234" s="157">
        <f t="shared" ref="E234:J234" si="44">SUM(E230:E233)</f>
        <v>242942.5</v>
      </c>
      <c r="F234" s="157">
        <f t="shared" si="44"/>
        <v>155700</v>
      </c>
      <c r="G234" s="157">
        <f t="shared" si="44"/>
        <v>126100</v>
      </c>
      <c r="H234" s="157">
        <f t="shared" si="44"/>
        <v>160100</v>
      </c>
      <c r="I234" s="157">
        <f t="shared" si="44"/>
        <v>184500</v>
      </c>
      <c r="J234" s="157">
        <f t="shared" si="44"/>
        <v>184500</v>
      </c>
    </row>
    <row r="235" spans="1:10" x14ac:dyDescent="0.2">
      <c r="A235" s="156" t="s">
        <v>296</v>
      </c>
      <c r="B235" s="156"/>
      <c r="C235" s="156"/>
      <c r="D235" s="156"/>
      <c r="E235" s="156"/>
      <c r="F235" s="156"/>
      <c r="G235" s="156"/>
      <c r="H235" s="156"/>
      <c r="I235" s="156"/>
      <c r="J235" s="190"/>
    </row>
    <row r="236" spans="1:10" x14ac:dyDescent="0.2">
      <c r="A236" s="207">
        <v>222</v>
      </c>
      <c r="B236" s="129" t="s">
        <v>205</v>
      </c>
      <c r="C236" s="101"/>
      <c r="D236" s="101"/>
      <c r="E236" s="211">
        <v>16523.810000000001</v>
      </c>
      <c r="F236" s="211">
        <v>17000</v>
      </c>
      <c r="G236" s="211">
        <v>17100</v>
      </c>
      <c r="H236" s="210">
        <v>17000</v>
      </c>
      <c r="I236" s="211">
        <v>17000</v>
      </c>
      <c r="J236" s="211">
        <v>17000</v>
      </c>
    </row>
    <row r="237" spans="1:10" x14ac:dyDescent="0.2">
      <c r="A237" s="207">
        <v>228</v>
      </c>
      <c r="B237" s="129" t="s">
        <v>208</v>
      </c>
      <c r="C237" s="101"/>
      <c r="D237" s="101"/>
      <c r="E237" s="211">
        <v>1439.12</v>
      </c>
      <c r="F237" s="211">
        <v>1500</v>
      </c>
      <c r="G237" s="211">
        <v>500</v>
      </c>
      <c r="H237" s="210">
        <v>1500</v>
      </c>
      <c r="I237" s="211">
        <v>1500</v>
      </c>
      <c r="J237" s="211">
        <v>1500</v>
      </c>
    </row>
    <row r="238" spans="1:10" x14ac:dyDescent="0.2">
      <c r="A238" s="207">
        <v>260</v>
      </c>
      <c r="B238" s="129" t="s">
        <v>513</v>
      </c>
      <c r="C238" s="101"/>
      <c r="D238" s="101"/>
      <c r="E238" s="211">
        <v>6979375</v>
      </c>
      <c r="F238" s="211">
        <v>5363800</v>
      </c>
      <c r="G238" s="211">
        <v>5375600</v>
      </c>
      <c r="H238" s="210">
        <f>4493800-402600+24500</f>
        <v>4115700</v>
      </c>
      <c r="I238" s="211">
        <f t="shared" ref="I238:J238" si="45">4493800-402600+24500</f>
        <v>4115700</v>
      </c>
      <c r="J238" s="211">
        <f t="shared" si="45"/>
        <v>4115700</v>
      </c>
    </row>
    <row r="239" spans="1:10" x14ac:dyDescent="0.2">
      <c r="A239" s="207">
        <v>275</v>
      </c>
      <c r="B239" s="129" t="s">
        <v>228</v>
      </c>
      <c r="C239" s="101"/>
      <c r="D239" s="101"/>
      <c r="E239" s="211">
        <v>92.07</v>
      </c>
      <c r="F239" s="211">
        <v>1100</v>
      </c>
      <c r="G239" s="211">
        <v>1100</v>
      </c>
      <c r="H239" s="210">
        <v>1100</v>
      </c>
      <c r="I239" s="211">
        <v>1100</v>
      </c>
      <c r="J239" s="211">
        <v>1100</v>
      </c>
    </row>
    <row r="240" spans="1:10" x14ac:dyDescent="0.2">
      <c r="A240" s="156" t="s">
        <v>298</v>
      </c>
      <c r="B240" s="156"/>
      <c r="C240" s="156"/>
      <c r="D240" s="156"/>
      <c r="E240" s="157">
        <f t="shared" ref="E240:J240" si="46">SUM(E236:E239)</f>
        <v>6997430</v>
      </c>
      <c r="F240" s="264">
        <f t="shared" si="46"/>
        <v>5383400</v>
      </c>
      <c r="G240" s="157">
        <f t="shared" si="46"/>
        <v>5394300</v>
      </c>
      <c r="H240" s="387">
        <f t="shared" si="46"/>
        <v>4135300</v>
      </c>
      <c r="I240" s="157">
        <f t="shared" si="46"/>
        <v>4135300</v>
      </c>
      <c r="J240" s="157">
        <f t="shared" si="46"/>
        <v>4135300</v>
      </c>
    </row>
    <row r="241" spans="1:10" x14ac:dyDescent="0.2">
      <c r="A241" s="159" t="s">
        <v>299</v>
      </c>
      <c r="B241" s="159"/>
      <c r="C241" s="159"/>
      <c r="D241" s="159"/>
      <c r="E241" s="160">
        <f t="shared" ref="E241:J241" si="47">SUM(E234,E240)</f>
        <v>7240372.5</v>
      </c>
      <c r="F241" s="160">
        <f t="shared" si="47"/>
        <v>5539100</v>
      </c>
      <c r="G241" s="160">
        <f t="shared" si="47"/>
        <v>5520400</v>
      </c>
      <c r="H241" s="160">
        <f t="shared" si="47"/>
        <v>4295400</v>
      </c>
      <c r="I241" s="160">
        <f t="shared" si="47"/>
        <v>4319800</v>
      </c>
      <c r="J241" s="160">
        <f t="shared" si="47"/>
        <v>4319800</v>
      </c>
    </row>
    <row r="242" spans="1:10" x14ac:dyDescent="0.2">
      <c r="A242" s="129"/>
      <c r="B242" s="129"/>
      <c r="C242" s="129"/>
      <c r="D242" s="129"/>
      <c r="E242" s="129"/>
      <c r="F242" s="129"/>
      <c r="G242" s="129"/>
      <c r="H242" s="129"/>
      <c r="I242" s="129"/>
      <c r="J242" s="190"/>
    </row>
    <row r="243" spans="1:10" x14ac:dyDescent="0.2">
      <c r="A243" s="162" t="s">
        <v>15</v>
      </c>
      <c r="B243" s="162"/>
      <c r="C243" s="162"/>
      <c r="D243" s="162"/>
      <c r="E243" s="162"/>
      <c r="F243" s="162"/>
      <c r="G243" s="162"/>
      <c r="H243" s="162"/>
      <c r="I243" s="162"/>
      <c r="J243" s="162"/>
    </row>
    <row r="244" spans="1:10" ht="18.75" customHeight="1" x14ac:dyDescent="0.2">
      <c r="A244" s="131" t="s">
        <v>242</v>
      </c>
      <c r="B244" s="131"/>
      <c r="C244" s="131"/>
      <c r="D244" s="131"/>
      <c r="E244" s="128" t="str">
        <f t="shared" ref="E244:J244" si="48">E23</f>
        <v>Actuals           2014-2015</v>
      </c>
      <c r="F244" s="128" t="str">
        <f t="shared" si="48"/>
        <v>Approved Estimates          2015-2016</v>
      </c>
      <c r="G244" s="128" t="str">
        <f t="shared" si="48"/>
        <v>Revised Estimates                 2015-2016</v>
      </c>
      <c r="H244" s="128" t="str">
        <f t="shared" si="48"/>
        <v>Budget Estimates      2016-2017</v>
      </c>
      <c r="I244" s="128" t="str">
        <f t="shared" si="48"/>
        <v>Forward Estimates     2017-2018</v>
      </c>
      <c r="J244" s="128" t="str">
        <f t="shared" si="48"/>
        <v>Forward Estimates     2018-2019</v>
      </c>
    </row>
    <row r="245" spans="1:10" x14ac:dyDescent="0.2">
      <c r="A245" s="130" t="s">
        <v>243</v>
      </c>
      <c r="B245" s="130" t="s">
        <v>244</v>
      </c>
      <c r="C245" s="131" t="s">
        <v>245</v>
      </c>
      <c r="D245" s="131"/>
      <c r="E245" s="101"/>
      <c r="F245" s="101"/>
      <c r="G245" s="101"/>
      <c r="H245" s="101"/>
      <c r="I245" s="101"/>
      <c r="J245" s="101"/>
    </row>
    <row r="246" spans="1:10" x14ac:dyDescent="0.2">
      <c r="A246" s="163"/>
      <c r="B246" s="163"/>
      <c r="C246" s="156"/>
      <c r="D246" s="156"/>
      <c r="E246" s="158"/>
      <c r="F246" s="209"/>
      <c r="G246" s="158"/>
      <c r="H246" s="136"/>
      <c r="I246" s="158"/>
      <c r="J246" s="135"/>
    </row>
    <row r="247" spans="1:10" x14ac:dyDescent="0.2">
      <c r="A247" s="137" t="s">
        <v>15</v>
      </c>
      <c r="B247" s="137"/>
      <c r="C247" s="137"/>
      <c r="D247" s="137"/>
      <c r="E247" s="138">
        <v>0</v>
      </c>
      <c r="F247" s="138">
        <v>0</v>
      </c>
      <c r="G247" s="138">
        <v>0</v>
      </c>
      <c r="H247" s="138">
        <v>0</v>
      </c>
      <c r="I247" s="138">
        <v>0</v>
      </c>
      <c r="J247" s="138">
        <v>0</v>
      </c>
    </row>
    <row r="248" spans="1:10" x14ac:dyDescent="0.2">
      <c r="A248" s="161" t="s">
        <v>288</v>
      </c>
      <c r="B248" s="161"/>
      <c r="C248" s="161"/>
      <c r="D248" s="161"/>
      <c r="E248" s="161"/>
      <c r="F248" s="202"/>
      <c r="G248" s="202"/>
      <c r="H248" s="202"/>
      <c r="I248" s="202"/>
      <c r="J248" s="202"/>
    </row>
    <row r="249" spans="1:10" x14ac:dyDescent="0.2">
      <c r="A249" s="131" t="s">
        <v>300</v>
      </c>
      <c r="B249" s="131"/>
      <c r="C249" s="131"/>
      <c r="D249" s="132" t="s">
        <v>301</v>
      </c>
      <c r="E249" s="291" t="s">
        <v>302</v>
      </c>
      <c r="F249" s="292"/>
      <c r="G249" s="220"/>
      <c r="H249" s="220"/>
      <c r="I249" s="220"/>
      <c r="J249" s="221"/>
    </row>
    <row r="250" spans="1:10" x14ac:dyDescent="0.2">
      <c r="A250" s="134" t="str">
        <f>Establishment!D192</f>
        <v xml:space="preserve">Director, Regional, Diaspora  Affairs </v>
      </c>
      <c r="B250" s="134"/>
      <c r="C250" s="134"/>
      <c r="D250" s="357" t="str">
        <f>Establishment!E192</f>
        <v>R7</v>
      </c>
      <c r="E250" s="268">
        <f>Establishment!C192</f>
        <v>1</v>
      </c>
      <c r="F250" s="293"/>
      <c r="G250" s="171"/>
      <c r="H250" s="171"/>
      <c r="I250" s="171"/>
      <c r="J250" s="174"/>
    </row>
    <row r="251" spans="1:10" x14ac:dyDescent="0.2">
      <c r="A251" s="134" t="str">
        <f>Establishment!D193</f>
        <v>Trade &amp; Investment Policy Officer</v>
      </c>
      <c r="B251" s="134"/>
      <c r="C251" s="134"/>
      <c r="D251" s="357" t="str">
        <f>Establishment!E193</f>
        <v>R22-16</v>
      </c>
      <c r="E251" s="268">
        <f>Establishment!C193</f>
        <v>1</v>
      </c>
      <c r="F251" s="293"/>
      <c r="G251" s="171"/>
      <c r="H251" s="171"/>
      <c r="I251" s="171"/>
      <c r="J251" s="174"/>
    </row>
    <row r="252" spans="1:10" x14ac:dyDescent="0.2">
      <c r="A252" s="159" t="s">
        <v>303</v>
      </c>
      <c r="B252" s="159"/>
      <c r="C252" s="159"/>
      <c r="D252" s="159"/>
      <c r="E252" s="294">
        <f>SUM(E250:E251)</f>
        <v>2</v>
      </c>
      <c r="F252" s="295"/>
      <c r="G252" s="177"/>
      <c r="H252" s="177"/>
      <c r="I252" s="177"/>
      <c r="J252" s="178"/>
    </row>
    <row r="253" spans="1:10" x14ac:dyDescent="0.2">
      <c r="A253" s="129"/>
      <c r="B253" s="129"/>
      <c r="C253" s="129"/>
      <c r="D253" s="129"/>
      <c r="E253" s="129"/>
      <c r="F253" s="179"/>
      <c r="G253" s="179"/>
      <c r="H253" s="179"/>
      <c r="I253" s="179"/>
      <c r="J253" s="179"/>
    </row>
    <row r="254" spans="1:10" x14ac:dyDescent="0.2">
      <c r="A254" s="180" t="s">
        <v>304</v>
      </c>
      <c r="B254" s="180"/>
      <c r="C254" s="180"/>
      <c r="D254" s="180"/>
      <c r="E254" s="180"/>
      <c r="F254" s="180"/>
      <c r="G254" s="180"/>
      <c r="H254" s="180"/>
      <c r="I254" s="180"/>
      <c r="J254" s="180"/>
    </row>
    <row r="255" spans="1:10" x14ac:dyDescent="0.2">
      <c r="A255" s="181" t="s">
        <v>305</v>
      </c>
      <c r="B255" s="181"/>
      <c r="C255" s="181"/>
      <c r="D255" s="181"/>
      <c r="E255" s="181"/>
      <c r="F255" s="181"/>
      <c r="G255" s="181"/>
      <c r="H255" s="181"/>
      <c r="I255" s="181"/>
      <c r="J255" s="181"/>
    </row>
    <row r="256" spans="1:10" s="388" customFormat="1" ht="22.5" customHeight="1" x14ac:dyDescent="0.2">
      <c r="A256" s="307" t="s">
        <v>912</v>
      </c>
      <c r="B256" s="308"/>
      <c r="C256" s="308"/>
      <c r="D256" s="308"/>
      <c r="E256" s="308"/>
      <c r="F256" s="308"/>
      <c r="G256" s="308"/>
      <c r="H256" s="308"/>
      <c r="I256" s="308"/>
      <c r="J256" s="309"/>
    </row>
    <row r="257" spans="1:10" s="388" customFormat="1" ht="24.75" customHeight="1" x14ac:dyDescent="0.2">
      <c r="A257" s="307" t="s">
        <v>913</v>
      </c>
      <c r="B257" s="308"/>
      <c r="C257" s="308"/>
      <c r="D257" s="308"/>
      <c r="E257" s="308"/>
      <c r="F257" s="308"/>
      <c r="G257" s="308"/>
      <c r="H257" s="308"/>
      <c r="I257" s="308"/>
      <c r="J257" s="309"/>
    </row>
    <row r="258" spans="1:10" s="388" customFormat="1" ht="14.25" customHeight="1" x14ac:dyDescent="0.2">
      <c r="A258" s="307" t="s">
        <v>914</v>
      </c>
      <c r="B258" s="308"/>
      <c r="C258" s="308"/>
      <c r="D258" s="308"/>
      <c r="E258" s="308"/>
      <c r="F258" s="308"/>
      <c r="G258" s="308"/>
      <c r="H258" s="308"/>
      <c r="I258" s="308"/>
      <c r="J258" s="309"/>
    </row>
    <row r="259" spans="1:10" s="388" customFormat="1" ht="14.25" customHeight="1" x14ac:dyDescent="0.2">
      <c r="A259" s="307" t="s">
        <v>915</v>
      </c>
      <c r="B259" s="308"/>
      <c r="C259" s="308"/>
      <c r="D259" s="308"/>
      <c r="E259" s="308"/>
      <c r="F259" s="308"/>
      <c r="G259" s="308"/>
      <c r="H259" s="308"/>
      <c r="I259" s="308"/>
      <c r="J259" s="309"/>
    </row>
    <row r="260" spans="1:10" s="388" customFormat="1" ht="14.25" customHeight="1" x14ac:dyDescent="0.2">
      <c r="A260" s="307" t="s">
        <v>916</v>
      </c>
      <c r="B260" s="308"/>
      <c r="C260" s="308"/>
      <c r="D260" s="308"/>
      <c r="E260" s="308"/>
      <c r="F260" s="308"/>
      <c r="G260" s="308"/>
      <c r="H260" s="308"/>
      <c r="I260" s="308"/>
      <c r="J260" s="309"/>
    </row>
    <row r="261" spans="1:10" x14ac:dyDescent="0.2">
      <c r="A261" s="129"/>
      <c r="B261" s="129"/>
      <c r="C261" s="129"/>
      <c r="D261" s="129"/>
      <c r="E261" s="129"/>
      <c r="F261" s="129"/>
      <c r="G261" s="129"/>
      <c r="H261" s="129"/>
      <c r="I261" s="129"/>
      <c r="J261" s="129"/>
    </row>
    <row r="262" spans="1:10" x14ac:dyDescent="0.2">
      <c r="A262" s="183" t="s">
        <v>415</v>
      </c>
      <c r="B262" s="183"/>
      <c r="C262" s="183"/>
      <c r="D262" s="183"/>
      <c r="E262" s="183"/>
      <c r="F262" s="183"/>
      <c r="G262" s="183"/>
      <c r="H262" s="183"/>
      <c r="I262" s="183"/>
      <c r="J262" s="183"/>
    </row>
    <row r="263" spans="1:10" x14ac:dyDescent="0.2">
      <c r="A263" s="129" t="s">
        <v>917</v>
      </c>
      <c r="B263" s="129"/>
      <c r="C263" s="129"/>
      <c r="D263" s="129"/>
      <c r="E263" s="129"/>
      <c r="F263" s="129"/>
      <c r="G263" s="129"/>
      <c r="H263" s="129"/>
      <c r="I263" s="129"/>
      <c r="J263" s="129"/>
    </row>
    <row r="264" spans="1:10" x14ac:dyDescent="0.2">
      <c r="A264" s="129"/>
      <c r="B264" s="129"/>
      <c r="C264" s="129"/>
      <c r="D264" s="129"/>
      <c r="E264" s="129"/>
      <c r="F264" s="129"/>
      <c r="G264" s="129"/>
      <c r="H264" s="129"/>
      <c r="I264" s="129"/>
      <c r="J264" s="129"/>
    </row>
    <row r="265" spans="1:10" x14ac:dyDescent="0.2">
      <c r="A265" s="129"/>
      <c r="B265" s="129"/>
      <c r="C265" s="129"/>
      <c r="D265" s="129"/>
      <c r="E265" s="129"/>
      <c r="F265" s="129"/>
      <c r="G265" s="129"/>
      <c r="H265" s="129"/>
      <c r="I265" s="129"/>
      <c r="J265" s="129"/>
    </row>
    <row r="266" spans="1:10" ht="22.5" x14ac:dyDescent="0.2">
      <c r="A266" s="180" t="s">
        <v>315</v>
      </c>
      <c r="B266" s="180"/>
      <c r="C266" s="180"/>
      <c r="D266" s="180"/>
      <c r="E266" s="180"/>
      <c r="F266" s="184" t="str">
        <f>F134</f>
        <v xml:space="preserve"> Actual 2014-2015</v>
      </c>
      <c r="G266" s="184" t="str">
        <f>G134</f>
        <v xml:space="preserve"> Estimate 2015-2016</v>
      </c>
      <c r="H266" s="184" t="str">
        <f>H134</f>
        <v xml:space="preserve"> Target 2016-2017</v>
      </c>
      <c r="I266" s="184" t="str">
        <f>I134</f>
        <v xml:space="preserve"> Target 2017-2018</v>
      </c>
      <c r="J266" s="184" t="str">
        <f>J134</f>
        <v xml:space="preserve"> Target 2018-2019</v>
      </c>
    </row>
    <row r="267" spans="1:10" x14ac:dyDescent="0.2">
      <c r="A267" s="180" t="s">
        <v>316</v>
      </c>
      <c r="B267" s="180"/>
      <c r="C267" s="180"/>
      <c r="D267" s="180"/>
      <c r="E267" s="180"/>
      <c r="F267" s="180"/>
      <c r="G267" s="180"/>
      <c r="H267" s="180"/>
      <c r="I267" s="180"/>
      <c r="J267" s="180"/>
    </row>
    <row r="268" spans="1:10" ht="56.25" x14ac:dyDescent="0.2">
      <c r="A268" s="343" t="s">
        <v>918</v>
      </c>
      <c r="B268" s="343"/>
      <c r="C268" s="343"/>
      <c r="D268" s="343"/>
      <c r="E268" s="343"/>
      <c r="F268" s="261" t="s">
        <v>479</v>
      </c>
      <c r="G268" s="261" t="s">
        <v>479</v>
      </c>
      <c r="H268" s="261" t="s">
        <v>479</v>
      </c>
      <c r="I268" s="261" t="s">
        <v>919</v>
      </c>
      <c r="J268" s="261"/>
    </row>
    <row r="269" spans="1:10" ht="33.75" x14ac:dyDescent="0.2">
      <c r="A269" s="343" t="s">
        <v>920</v>
      </c>
      <c r="B269" s="343"/>
      <c r="C269" s="343"/>
      <c r="D269" s="343"/>
      <c r="E269" s="343"/>
      <c r="F269" s="261" t="s">
        <v>480</v>
      </c>
      <c r="G269" s="261" t="s">
        <v>480</v>
      </c>
      <c r="H269" s="261" t="s">
        <v>921</v>
      </c>
      <c r="I269" s="261" t="s">
        <v>480</v>
      </c>
      <c r="J269" s="261" t="s">
        <v>480</v>
      </c>
    </row>
    <row r="270" spans="1:10" ht="22.5" x14ac:dyDescent="0.2">
      <c r="A270" s="343" t="s">
        <v>922</v>
      </c>
      <c r="B270" s="343"/>
      <c r="C270" s="343"/>
      <c r="D270" s="343"/>
      <c r="E270" s="343"/>
      <c r="F270" s="261" t="s">
        <v>480</v>
      </c>
      <c r="G270" s="261" t="s">
        <v>480</v>
      </c>
      <c r="H270" s="261" t="s">
        <v>923</v>
      </c>
      <c r="I270" s="261" t="s">
        <v>480</v>
      </c>
      <c r="J270" s="261" t="s">
        <v>480</v>
      </c>
    </row>
    <row r="271" spans="1:10" x14ac:dyDescent="0.2">
      <c r="A271" s="343" t="s">
        <v>924</v>
      </c>
      <c r="B271" s="343"/>
      <c r="C271" s="343"/>
      <c r="D271" s="343"/>
      <c r="E271" s="343"/>
      <c r="F271" s="207"/>
      <c r="G271" s="207">
        <v>6</v>
      </c>
      <c r="H271" s="207">
        <v>6</v>
      </c>
      <c r="I271" s="207">
        <v>6</v>
      </c>
      <c r="J271" s="207">
        <v>6</v>
      </c>
    </row>
    <row r="272" spans="1:10" x14ac:dyDescent="0.2">
      <c r="A272" s="343" t="s">
        <v>925</v>
      </c>
      <c r="B272" s="343"/>
      <c r="C272" s="343"/>
      <c r="D272" s="343"/>
      <c r="E272" s="343"/>
      <c r="F272" s="207"/>
      <c r="G272" s="207">
        <v>15</v>
      </c>
      <c r="H272" s="207">
        <v>15</v>
      </c>
      <c r="I272" s="207">
        <v>15</v>
      </c>
      <c r="J272" s="207">
        <v>15</v>
      </c>
    </row>
    <row r="273" spans="1:10" ht="56.25" x14ac:dyDescent="0.2">
      <c r="A273" s="343" t="s">
        <v>926</v>
      </c>
      <c r="B273" s="343"/>
      <c r="C273" s="343"/>
      <c r="D273" s="343"/>
      <c r="E273" s="343"/>
      <c r="F273" s="261" t="s">
        <v>480</v>
      </c>
      <c r="G273" s="261" t="s">
        <v>927</v>
      </c>
      <c r="H273" s="261" t="s">
        <v>928</v>
      </c>
      <c r="I273" s="261"/>
      <c r="J273" s="261" t="s">
        <v>480</v>
      </c>
    </row>
    <row r="274" spans="1:10" x14ac:dyDescent="0.2">
      <c r="A274" s="188"/>
      <c r="B274" s="188"/>
      <c r="C274" s="188"/>
      <c r="D274" s="188"/>
      <c r="E274" s="188"/>
      <c r="F274" s="273"/>
      <c r="G274" s="190"/>
      <c r="H274" s="190"/>
      <c r="I274" s="190"/>
      <c r="J274" s="190"/>
    </row>
    <row r="275" spans="1:10" x14ac:dyDescent="0.2">
      <c r="A275" s="180" t="s">
        <v>324</v>
      </c>
      <c r="B275" s="180"/>
      <c r="C275" s="180"/>
      <c r="D275" s="180"/>
      <c r="E275" s="180"/>
      <c r="F275" s="180"/>
      <c r="G275" s="180"/>
      <c r="H275" s="180"/>
      <c r="I275" s="180"/>
      <c r="J275" s="180"/>
    </row>
    <row r="276" spans="1:10" ht="22.5" customHeight="1" x14ac:dyDescent="0.2">
      <c r="A276" s="343" t="s">
        <v>929</v>
      </c>
      <c r="B276" s="343"/>
      <c r="C276" s="343"/>
      <c r="D276" s="343"/>
      <c r="E276" s="343"/>
      <c r="F276" s="207" t="s">
        <v>479</v>
      </c>
      <c r="G276" s="207" t="s">
        <v>479</v>
      </c>
      <c r="H276" s="207" t="s">
        <v>524</v>
      </c>
      <c r="I276" s="207" t="s">
        <v>377</v>
      </c>
      <c r="J276" s="207">
        <v>4</v>
      </c>
    </row>
    <row r="277" spans="1:10" x14ac:dyDescent="0.2">
      <c r="A277" s="188"/>
      <c r="B277" s="188"/>
      <c r="C277" s="188"/>
      <c r="D277" s="188"/>
      <c r="E277" s="188"/>
      <c r="F277" s="273"/>
      <c r="G277" s="190"/>
      <c r="H277" s="190"/>
      <c r="I277" s="190"/>
      <c r="J277" s="190"/>
    </row>
    <row r="279" spans="1:10" x14ac:dyDescent="0.2">
      <c r="A279" s="150" t="s">
        <v>930</v>
      </c>
      <c r="B279" s="150"/>
      <c r="C279" s="150"/>
      <c r="D279" s="150"/>
      <c r="E279" s="150"/>
      <c r="F279" s="150"/>
      <c r="G279" s="150"/>
      <c r="H279" s="150"/>
      <c r="I279" s="150"/>
      <c r="J279" s="150"/>
    </row>
    <row r="280" spans="1:10" x14ac:dyDescent="0.2">
      <c r="A280" s="389" t="s">
        <v>291</v>
      </c>
      <c r="B280" s="389"/>
      <c r="C280" s="389"/>
      <c r="D280" s="389"/>
      <c r="E280" s="389"/>
      <c r="F280" s="389"/>
      <c r="G280" s="389"/>
      <c r="H280" s="389"/>
      <c r="I280" s="389"/>
      <c r="J280" s="389"/>
    </row>
    <row r="281" spans="1:10" x14ac:dyDescent="0.2">
      <c r="A281" s="129" t="s">
        <v>931</v>
      </c>
      <c r="B281" s="129"/>
      <c r="C281" s="129"/>
      <c r="D281" s="129"/>
      <c r="E281" s="129"/>
      <c r="F281" s="129"/>
      <c r="G281" s="129"/>
      <c r="H281" s="129"/>
      <c r="I281" s="129"/>
      <c r="J281" s="129"/>
    </row>
    <row r="282" spans="1:10" x14ac:dyDescent="0.2">
      <c r="A282" s="128" t="s">
        <v>293</v>
      </c>
      <c r="B282" s="128"/>
      <c r="C282" s="128"/>
      <c r="D282" s="128"/>
      <c r="E282" s="128"/>
      <c r="F282" s="128"/>
      <c r="G282" s="128"/>
      <c r="H282" s="128"/>
      <c r="I282" s="128"/>
      <c r="J282" s="128"/>
    </row>
    <row r="283" spans="1:10" ht="33.75" x14ac:dyDescent="0.2">
      <c r="A283" s="152" t="s">
        <v>243</v>
      </c>
      <c r="B283" s="151" t="s">
        <v>242</v>
      </c>
      <c r="C283" s="151"/>
      <c r="D283" s="151"/>
      <c r="E283" s="132" t="str">
        <f t="shared" ref="E283:J283" si="49">E223</f>
        <v>Actuals           2014-2015</v>
      </c>
      <c r="F283" s="132" t="str">
        <f t="shared" si="49"/>
        <v>Approved Estimates          2015-2016</v>
      </c>
      <c r="G283" s="132" t="str">
        <f t="shared" si="49"/>
        <v>Revised Estimates                 2015-2016</v>
      </c>
      <c r="H283" s="132" t="str">
        <f t="shared" si="49"/>
        <v>Budget Estimates      2016-2017</v>
      </c>
      <c r="I283" s="132" t="str">
        <f t="shared" si="49"/>
        <v>Forward Estimates     2017-2018</v>
      </c>
      <c r="J283" s="132" t="str">
        <f t="shared" si="49"/>
        <v>Forward Estimates     2018-2019</v>
      </c>
    </row>
    <row r="284" spans="1:10" x14ac:dyDescent="0.2">
      <c r="A284" s="133"/>
      <c r="B284" s="134"/>
      <c r="C284" s="134"/>
      <c r="D284" s="134"/>
      <c r="E284" s="135"/>
      <c r="F284" s="262"/>
      <c r="G284" s="135"/>
      <c r="H284" s="136"/>
      <c r="I284" s="158"/>
      <c r="J284" s="158"/>
    </row>
    <row r="285" spans="1:10" x14ac:dyDescent="0.2">
      <c r="A285" s="137" t="s">
        <v>840</v>
      </c>
      <c r="B285" s="137"/>
      <c r="C285" s="137"/>
      <c r="D285" s="137"/>
      <c r="E285" s="138">
        <f t="shared" ref="E285:J285" si="50">SUM(E284:E284)</f>
        <v>0</v>
      </c>
      <c r="F285" s="138">
        <f t="shared" si="50"/>
        <v>0</v>
      </c>
      <c r="G285" s="138">
        <f t="shared" si="50"/>
        <v>0</v>
      </c>
      <c r="H285" s="138">
        <f t="shared" si="50"/>
        <v>0</v>
      </c>
      <c r="I285" s="138">
        <f t="shared" si="50"/>
        <v>0</v>
      </c>
      <c r="J285" s="138">
        <f t="shared" si="50"/>
        <v>0</v>
      </c>
    </row>
    <row r="286" spans="1:10" x14ac:dyDescent="0.2">
      <c r="A286" s="129"/>
      <c r="B286" s="129"/>
      <c r="C286" s="129"/>
      <c r="D286" s="129"/>
      <c r="E286" s="129"/>
      <c r="F286" s="129"/>
      <c r="G286" s="129"/>
      <c r="H286" s="129"/>
      <c r="I286" s="129"/>
      <c r="J286" s="129"/>
    </row>
    <row r="287" spans="1:10" x14ac:dyDescent="0.2">
      <c r="A287" s="128" t="s">
        <v>284</v>
      </c>
      <c r="B287" s="128"/>
      <c r="C287" s="128"/>
      <c r="D287" s="128"/>
      <c r="E287" s="128"/>
      <c r="F287" s="128"/>
      <c r="G287" s="128"/>
      <c r="H287" s="128"/>
      <c r="I287" s="128"/>
      <c r="J287" s="128"/>
    </row>
    <row r="288" spans="1:10" ht="33.75" x14ac:dyDescent="0.2">
      <c r="A288" s="152" t="s">
        <v>243</v>
      </c>
      <c r="B288" s="151" t="s">
        <v>242</v>
      </c>
      <c r="C288" s="151"/>
      <c r="D288" s="151"/>
      <c r="E288" s="132" t="str">
        <f t="shared" ref="E288:J288" si="51">E228</f>
        <v>Actuals           2014-2015</v>
      </c>
      <c r="F288" s="132" t="str">
        <f t="shared" si="51"/>
        <v>Approved Estimates          2015-2016</v>
      </c>
      <c r="G288" s="132" t="str">
        <f t="shared" si="51"/>
        <v>Revised Estimates                 2015-2016</v>
      </c>
      <c r="H288" s="132" t="str">
        <f t="shared" si="51"/>
        <v>Budget Estimates      2016-2017</v>
      </c>
      <c r="I288" s="132" t="str">
        <f t="shared" si="51"/>
        <v>Forward Estimates     2017-2018</v>
      </c>
      <c r="J288" s="132" t="str">
        <f t="shared" si="51"/>
        <v>Forward Estimates     2018-2019</v>
      </c>
    </row>
    <row r="289" spans="1:10" x14ac:dyDescent="0.2">
      <c r="A289" s="151" t="s">
        <v>7</v>
      </c>
      <c r="B289" s="151"/>
      <c r="C289" s="151"/>
      <c r="D289" s="151"/>
      <c r="E289" s="151"/>
      <c r="F289" s="151"/>
      <c r="G289" s="151"/>
      <c r="H289" s="151"/>
      <c r="I289" s="151"/>
      <c r="J289" s="190"/>
    </row>
    <row r="290" spans="1:10" x14ac:dyDescent="0.2">
      <c r="A290" s="133">
        <v>210</v>
      </c>
      <c r="B290" s="134" t="s">
        <v>7</v>
      </c>
      <c r="C290" s="134"/>
      <c r="D290" s="134"/>
      <c r="E290" s="135">
        <v>0</v>
      </c>
      <c r="F290" s="262">
        <v>285200</v>
      </c>
      <c r="G290" s="262">
        <v>239400</v>
      </c>
      <c r="H290" s="136">
        <v>233200</v>
      </c>
      <c r="I290" s="158">
        <v>251500</v>
      </c>
      <c r="J290" s="158">
        <v>254600</v>
      </c>
    </row>
    <row r="291" spans="1:10" x14ac:dyDescent="0.2">
      <c r="A291" s="133">
        <v>212</v>
      </c>
      <c r="B291" s="134" t="s">
        <v>9</v>
      </c>
      <c r="C291" s="134"/>
      <c r="D291" s="134"/>
      <c r="E291" s="135">
        <v>0</v>
      </c>
      <c r="F291" s="262">
        <v>0</v>
      </c>
      <c r="G291" s="262">
        <v>0</v>
      </c>
      <c r="H291" s="136">
        <v>0</v>
      </c>
      <c r="I291" s="158">
        <v>0</v>
      </c>
      <c r="J291" s="158">
        <v>0</v>
      </c>
    </row>
    <row r="292" spans="1:10" x14ac:dyDescent="0.2">
      <c r="A292" s="133">
        <v>216</v>
      </c>
      <c r="B292" s="134" t="s">
        <v>10</v>
      </c>
      <c r="C292" s="134"/>
      <c r="D292" s="134"/>
      <c r="E292" s="135">
        <v>0</v>
      </c>
      <c r="F292" s="262">
        <v>48400</v>
      </c>
      <c r="G292" s="262">
        <v>34600</v>
      </c>
      <c r="H292" s="136">
        <v>42800</v>
      </c>
      <c r="I292" s="158">
        <v>42800</v>
      </c>
      <c r="J292" s="158">
        <v>42800</v>
      </c>
    </row>
    <row r="293" spans="1:10" x14ac:dyDescent="0.2">
      <c r="A293" s="133">
        <v>218</v>
      </c>
      <c r="B293" s="134" t="s">
        <v>294</v>
      </c>
      <c r="C293" s="134"/>
      <c r="D293" s="134"/>
      <c r="E293" s="135">
        <v>0</v>
      </c>
      <c r="F293" s="262">
        <v>13300</v>
      </c>
      <c r="G293" s="262">
        <v>13300</v>
      </c>
      <c r="H293" s="136">
        <v>0</v>
      </c>
      <c r="I293" s="158">
        <v>15200</v>
      </c>
      <c r="J293" s="158">
        <v>0</v>
      </c>
    </row>
    <row r="294" spans="1:10" x14ac:dyDescent="0.2">
      <c r="A294" s="156" t="s">
        <v>295</v>
      </c>
      <c r="B294" s="156"/>
      <c r="C294" s="156"/>
      <c r="D294" s="156"/>
      <c r="E294" s="157">
        <f t="shared" ref="E294:J294" si="52">SUM(E290:E293)</f>
        <v>0</v>
      </c>
      <c r="F294" s="157">
        <f t="shared" si="52"/>
        <v>346900</v>
      </c>
      <c r="G294" s="157">
        <f t="shared" si="52"/>
        <v>287300</v>
      </c>
      <c r="H294" s="157">
        <f t="shared" si="52"/>
        <v>276000</v>
      </c>
      <c r="I294" s="157">
        <f t="shared" si="52"/>
        <v>309500</v>
      </c>
      <c r="J294" s="157">
        <f t="shared" si="52"/>
        <v>297400</v>
      </c>
    </row>
    <row r="295" spans="1:10" x14ac:dyDescent="0.2">
      <c r="A295" s="156" t="s">
        <v>296</v>
      </c>
      <c r="B295" s="156"/>
      <c r="C295" s="156"/>
      <c r="D295" s="156"/>
      <c r="E295" s="156"/>
      <c r="F295" s="156"/>
      <c r="G295" s="156"/>
      <c r="H295" s="156"/>
      <c r="I295" s="156"/>
      <c r="J295" s="190"/>
    </row>
    <row r="296" spans="1:10" x14ac:dyDescent="0.2">
      <c r="A296" s="133">
        <v>228</v>
      </c>
      <c r="B296" s="134" t="s">
        <v>208</v>
      </c>
      <c r="C296" s="134"/>
      <c r="D296" s="134"/>
      <c r="E296" s="135">
        <v>0</v>
      </c>
      <c r="F296" s="262">
        <v>4000</v>
      </c>
      <c r="G296" s="262">
        <v>2000</v>
      </c>
      <c r="H296" s="136">
        <v>4000</v>
      </c>
      <c r="I296" s="158">
        <v>4000</v>
      </c>
      <c r="J296" s="158">
        <v>4000</v>
      </c>
    </row>
    <row r="297" spans="1:10" x14ac:dyDescent="0.2">
      <c r="A297" s="133">
        <v>236</v>
      </c>
      <c r="B297" s="134" t="s">
        <v>213</v>
      </c>
      <c r="C297" s="134"/>
      <c r="D297" s="134"/>
      <c r="E297" s="135">
        <v>0</v>
      </c>
      <c r="F297" s="262">
        <v>20000</v>
      </c>
      <c r="G297" s="262">
        <v>10000</v>
      </c>
      <c r="H297" s="136">
        <v>10000</v>
      </c>
      <c r="I297" s="158">
        <v>10000</v>
      </c>
      <c r="J297" s="158">
        <v>10000</v>
      </c>
    </row>
    <row r="298" spans="1:10" x14ac:dyDescent="0.2">
      <c r="A298" s="133">
        <v>246</v>
      </c>
      <c r="B298" s="134" t="s">
        <v>218</v>
      </c>
      <c r="C298" s="134"/>
      <c r="D298" s="134"/>
      <c r="E298" s="135">
        <v>0</v>
      </c>
      <c r="F298" s="262">
        <v>5000</v>
      </c>
      <c r="G298" s="262">
        <v>2500</v>
      </c>
      <c r="H298" s="136">
        <v>5000</v>
      </c>
      <c r="I298" s="158">
        <v>5000</v>
      </c>
      <c r="J298" s="158">
        <v>5000</v>
      </c>
    </row>
    <row r="299" spans="1:10" x14ac:dyDescent="0.2">
      <c r="A299" s="133">
        <v>275</v>
      </c>
      <c r="B299" s="134" t="s">
        <v>228</v>
      </c>
      <c r="C299" s="134"/>
      <c r="D299" s="134"/>
      <c r="E299" s="135">
        <v>0</v>
      </c>
      <c r="F299" s="262">
        <v>10000</v>
      </c>
      <c r="G299" s="262">
        <v>5000</v>
      </c>
      <c r="H299" s="136">
        <v>10000</v>
      </c>
      <c r="I299" s="158">
        <v>10000</v>
      </c>
      <c r="J299" s="158">
        <v>10000</v>
      </c>
    </row>
    <row r="300" spans="1:10" x14ac:dyDescent="0.2">
      <c r="A300" s="156" t="s">
        <v>298</v>
      </c>
      <c r="B300" s="156"/>
      <c r="C300" s="156"/>
      <c r="D300" s="156"/>
      <c r="E300" s="157">
        <f t="shared" ref="E300:J300" si="53">SUM(E296:E299)</f>
        <v>0</v>
      </c>
      <c r="F300" s="264">
        <f t="shared" si="53"/>
        <v>39000</v>
      </c>
      <c r="G300" s="157">
        <f t="shared" si="53"/>
        <v>19500</v>
      </c>
      <c r="H300" s="157">
        <f t="shared" si="53"/>
        <v>29000</v>
      </c>
      <c r="I300" s="157">
        <f t="shared" si="53"/>
        <v>29000</v>
      </c>
      <c r="J300" s="157">
        <f t="shared" si="53"/>
        <v>29000</v>
      </c>
    </row>
    <row r="301" spans="1:10" x14ac:dyDescent="0.2">
      <c r="A301" s="159" t="s">
        <v>299</v>
      </c>
      <c r="B301" s="159"/>
      <c r="C301" s="159"/>
      <c r="D301" s="159"/>
      <c r="E301" s="160">
        <f t="shared" ref="E301:J301" si="54">SUM(E294,E300)</f>
        <v>0</v>
      </c>
      <c r="F301" s="160">
        <f t="shared" si="54"/>
        <v>385900</v>
      </c>
      <c r="G301" s="160">
        <f t="shared" si="54"/>
        <v>306800</v>
      </c>
      <c r="H301" s="160">
        <f t="shared" si="54"/>
        <v>305000</v>
      </c>
      <c r="I301" s="160">
        <f t="shared" si="54"/>
        <v>338500</v>
      </c>
      <c r="J301" s="160">
        <f t="shared" si="54"/>
        <v>326400</v>
      </c>
    </row>
    <row r="302" spans="1:10" x14ac:dyDescent="0.2">
      <c r="A302" s="129"/>
      <c r="B302" s="129"/>
      <c r="C302" s="129"/>
      <c r="D302" s="129"/>
      <c r="E302" s="129"/>
      <c r="F302" s="129"/>
      <c r="G302" s="129"/>
      <c r="H302" s="129"/>
      <c r="I302" s="129"/>
      <c r="J302" s="190"/>
    </row>
    <row r="303" spans="1:10" x14ac:dyDescent="0.2">
      <c r="A303" s="162" t="s">
        <v>15</v>
      </c>
      <c r="B303" s="162"/>
      <c r="C303" s="162"/>
      <c r="D303" s="162"/>
      <c r="E303" s="162"/>
      <c r="F303" s="162"/>
      <c r="G303" s="162"/>
      <c r="H303" s="162"/>
      <c r="I303" s="162"/>
      <c r="J303" s="162"/>
    </row>
    <row r="304" spans="1:10" ht="18" customHeight="1" x14ac:dyDescent="0.2">
      <c r="A304" s="131" t="s">
        <v>242</v>
      </c>
      <c r="B304" s="131"/>
      <c r="C304" s="131"/>
      <c r="D304" s="131"/>
      <c r="E304" s="128" t="str">
        <f t="shared" ref="E304:J304" si="55">E244</f>
        <v>Actuals           2014-2015</v>
      </c>
      <c r="F304" s="128" t="str">
        <f t="shared" si="55"/>
        <v>Approved Estimates          2015-2016</v>
      </c>
      <c r="G304" s="128" t="str">
        <f t="shared" si="55"/>
        <v>Revised Estimates                 2015-2016</v>
      </c>
      <c r="H304" s="128" t="str">
        <f t="shared" si="55"/>
        <v>Budget Estimates      2016-2017</v>
      </c>
      <c r="I304" s="128" t="str">
        <f t="shared" si="55"/>
        <v>Forward Estimates     2017-2018</v>
      </c>
      <c r="J304" s="128" t="str">
        <f t="shared" si="55"/>
        <v>Forward Estimates     2018-2019</v>
      </c>
    </row>
    <row r="305" spans="1:10" x14ac:dyDescent="0.2">
      <c r="A305" s="130" t="s">
        <v>243</v>
      </c>
      <c r="B305" s="130" t="s">
        <v>244</v>
      </c>
      <c r="C305" s="131" t="s">
        <v>245</v>
      </c>
      <c r="D305" s="131"/>
      <c r="E305" s="101"/>
      <c r="F305" s="101"/>
      <c r="G305" s="101"/>
      <c r="H305" s="101"/>
      <c r="I305" s="101"/>
      <c r="J305" s="101"/>
    </row>
    <row r="306" spans="1:10" x14ac:dyDescent="0.2">
      <c r="A306" s="163"/>
      <c r="B306" s="163"/>
      <c r="C306" s="156"/>
      <c r="D306" s="156"/>
      <c r="E306" s="135">
        <v>0</v>
      </c>
      <c r="F306" s="262">
        <v>0</v>
      </c>
      <c r="G306" s="262">
        <v>0</v>
      </c>
      <c r="H306" s="136"/>
      <c r="I306" s="158"/>
      <c r="J306" s="135"/>
    </row>
    <row r="307" spans="1:10" x14ac:dyDescent="0.2">
      <c r="A307" s="163"/>
      <c r="B307" s="163"/>
      <c r="C307" s="156"/>
      <c r="D307" s="156"/>
      <c r="E307" s="135">
        <v>0</v>
      </c>
      <c r="F307" s="262">
        <v>0</v>
      </c>
      <c r="G307" s="262">
        <v>0</v>
      </c>
      <c r="H307" s="136"/>
      <c r="I307" s="158"/>
      <c r="J307" s="135"/>
    </row>
    <row r="308" spans="1:10" x14ac:dyDescent="0.2">
      <c r="A308" s="137" t="s">
        <v>15</v>
      </c>
      <c r="B308" s="137"/>
      <c r="C308" s="137"/>
      <c r="D308" s="137"/>
      <c r="E308" s="138">
        <v>0</v>
      </c>
      <c r="F308" s="138">
        <v>0</v>
      </c>
      <c r="G308" s="138">
        <v>0</v>
      </c>
      <c r="H308" s="138">
        <v>0</v>
      </c>
      <c r="I308" s="138">
        <v>0</v>
      </c>
      <c r="J308" s="138">
        <v>0</v>
      </c>
    </row>
    <row r="309" spans="1:10" x14ac:dyDescent="0.2">
      <c r="A309" s="290"/>
      <c r="B309" s="290"/>
      <c r="C309" s="290"/>
      <c r="D309" s="290"/>
      <c r="E309" s="290"/>
      <c r="F309" s="290"/>
      <c r="G309" s="290"/>
      <c r="H309" s="290"/>
      <c r="I309" s="290"/>
      <c r="J309" s="290"/>
    </row>
    <row r="310" spans="1:10" x14ac:dyDescent="0.2">
      <c r="A310" s="161" t="s">
        <v>288</v>
      </c>
      <c r="B310" s="161"/>
      <c r="C310" s="161"/>
      <c r="D310" s="161"/>
      <c r="E310" s="161"/>
      <c r="F310" s="202"/>
      <c r="G310" s="202"/>
      <c r="H310" s="202"/>
      <c r="I310" s="202"/>
      <c r="J310" s="202"/>
    </row>
    <row r="311" spans="1:10" x14ac:dyDescent="0.2">
      <c r="A311" s="131" t="s">
        <v>300</v>
      </c>
      <c r="B311" s="131"/>
      <c r="C311" s="131"/>
      <c r="D311" s="132" t="s">
        <v>301</v>
      </c>
      <c r="E311" s="132" t="s">
        <v>302</v>
      </c>
      <c r="F311" s="131" t="s">
        <v>300</v>
      </c>
      <c r="G311" s="131"/>
      <c r="H311" s="131"/>
      <c r="I311" s="132" t="s">
        <v>301</v>
      </c>
      <c r="J311" s="132" t="s">
        <v>302</v>
      </c>
    </row>
    <row r="312" spans="1:10" x14ac:dyDescent="0.2">
      <c r="A312" s="134" t="str">
        <f>Establishment!D197</f>
        <v>Director, Development Planning &amp; Policy</v>
      </c>
      <c r="B312" s="134"/>
      <c r="C312" s="134"/>
      <c r="D312" s="133" t="str">
        <f>Establishment!E197</f>
        <v>R7</v>
      </c>
      <c r="E312" s="133">
        <f>Establishment!C197</f>
        <v>1</v>
      </c>
      <c r="F312" s="134" t="str">
        <f>Establishment!D199</f>
        <v>Policy Analyst (Snr)</v>
      </c>
      <c r="G312" s="134"/>
      <c r="H312" s="134"/>
      <c r="I312" s="133" t="str">
        <f>Establishment!E199</f>
        <v>R17-13</v>
      </c>
      <c r="J312" s="133">
        <f>Establishment!C199</f>
        <v>1</v>
      </c>
    </row>
    <row r="313" spans="1:10" ht="14.25" customHeight="1" x14ac:dyDescent="0.2">
      <c r="A313" s="134" t="str">
        <f>Establishment!D198</f>
        <v>Development Planner</v>
      </c>
      <c r="B313" s="134"/>
      <c r="C313" s="134"/>
      <c r="D313" s="133" t="str">
        <f>Establishment!E198</f>
        <v>R17-13</v>
      </c>
      <c r="E313" s="133">
        <f>Establishment!C198</f>
        <v>1</v>
      </c>
      <c r="F313" s="134" t="str">
        <f>Establishment!D200</f>
        <v>Policy Analyst/ Policy &amp; Planning Officer</v>
      </c>
      <c r="G313" s="134"/>
      <c r="H313" s="134"/>
      <c r="I313" s="133" t="str">
        <f>Establishment!E200</f>
        <v>R22-16</v>
      </c>
      <c r="J313" s="133">
        <f>Establishment!C200</f>
        <v>1</v>
      </c>
    </row>
    <row r="314" spans="1:10" ht="14.25" customHeight="1" x14ac:dyDescent="0.2">
      <c r="A314" s="203" t="s">
        <v>303</v>
      </c>
      <c r="B314" s="203"/>
      <c r="C314" s="203"/>
      <c r="D314" s="203"/>
      <c r="E314" s="203"/>
      <c r="F314" s="203"/>
      <c r="G314" s="203"/>
      <c r="H314" s="203"/>
      <c r="I314" s="203"/>
      <c r="J314" s="204">
        <f>SUM(E312:E313,J312:J313)</f>
        <v>4</v>
      </c>
    </row>
    <row r="315" spans="1:10" x14ac:dyDescent="0.2">
      <c r="A315" s="129"/>
      <c r="B315" s="129"/>
      <c r="C315" s="129"/>
      <c r="D315" s="129"/>
      <c r="E315" s="129"/>
      <c r="F315" s="179"/>
      <c r="G315" s="179"/>
      <c r="H315" s="179"/>
      <c r="I315" s="179"/>
      <c r="J315" s="179"/>
    </row>
    <row r="316" spans="1:10" x14ac:dyDescent="0.2">
      <c r="A316" s="180" t="s">
        <v>304</v>
      </c>
      <c r="B316" s="180"/>
      <c r="C316" s="180"/>
      <c r="D316" s="180"/>
      <c r="E316" s="180"/>
      <c r="F316" s="180"/>
      <c r="G316" s="180"/>
      <c r="H316" s="180"/>
      <c r="I316" s="180"/>
      <c r="J316" s="180"/>
    </row>
    <row r="317" spans="1:10" x14ac:dyDescent="0.2">
      <c r="A317" s="181" t="s">
        <v>305</v>
      </c>
      <c r="B317" s="181"/>
      <c r="C317" s="181"/>
      <c r="D317" s="181"/>
      <c r="E317" s="181"/>
      <c r="F317" s="181"/>
      <c r="G317" s="181"/>
      <c r="H317" s="181"/>
      <c r="I317" s="181"/>
      <c r="J317" s="181"/>
    </row>
    <row r="318" spans="1:10" x14ac:dyDescent="0.2">
      <c r="A318" s="296" t="s">
        <v>932</v>
      </c>
      <c r="B318" s="296"/>
      <c r="C318" s="296"/>
      <c r="D318" s="296"/>
      <c r="E318" s="296"/>
      <c r="F318" s="296"/>
      <c r="G318" s="296"/>
      <c r="H318" s="296"/>
      <c r="I318" s="296"/>
      <c r="J318" s="296"/>
    </row>
    <row r="319" spans="1:10" x14ac:dyDescent="0.2">
      <c r="A319" s="296" t="s">
        <v>933</v>
      </c>
      <c r="B319" s="296"/>
      <c r="C319" s="296"/>
      <c r="D319" s="296"/>
      <c r="E319" s="296"/>
      <c r="F319" s="296"/>
      <c r="G319" s="296"/>
      <c r="H319" s="296"/>
      <c r="I319" s="296"/>
      <c r="J319" s="296"/>
    </row>
    <row r="320" spans="1:10" x14ac:dyDescent="0.2">
      <c r="A320" s="129"/>
      <c r="B320" s="129"/>
      <c r="C320" s="129"/>
      <c r="D320" s="129"/>
      <c r="E320" s="129"/>
      <c r="F320" s="129"/>
      <c r="G320" s="129"/>
      <c r="H320" s="129"/>
      <c r="I320" s="129"/>
      <c r="J320" s="129"/>
    </row>
    <row r="321" spans="1:10" x14ac:dyDescent="0.2">
      <c r="A321" s="183" t="s">
        <v>415</v>
      </c>
      <c r="B321" s="183"/>
      <c r="C321" s="183"/>
      <c r="D321" s="183"/>
      <c r="E321" s="183"/>
      <c r="F321" s="183"/>
      <c r="G321" s="183"/>
      <c r="H321" s="183"/>
      <c r="I321" s="183"/>
      <c r="J321" s="183"/>
    </row>
    <row r="322" spans="1:10" x14ac:dyDescent="0.2">
      <c r="A322" s="129"/>
      <c r="B322" s="129"/>
      <c r="C322" s="129"/>
      <c r="D322" s="129"/>
      <c r="E322" s="129"/>
      <c r="F322" s="129"/>
      <c r="G322" s="129"/>
      <c r="H322" s="129"/>
      <c r="I322" s="129"/>
      <c r="J322" s="129"/>
    </row>
    <row r="323" spans="1:10" x14ac:dyDescent="0.2">
      <c r="A323" s="129"/>
      <c r="B323" s="129"/>
      <c r="C323" s="129"/>
      <c r="D323" s="129"/>
      <c r="E323" s="129"/>
      <c r="F323" s="129"/>
      <c r="G323" s="129"/>
      <c r="H323" s="129"/>
      <c r="I323" s="129"/>
      <c r="J323" s="129"/>
    </row>
    <row r="324" spans="1:10" x14ac:dyDescent="0.2">
      <c r="A324" s="129"/>
      <c r="B324" s="129"/>
      <c r="C324" s="129"/>
      <c r="D324" s="129"/>
      <c r="E324" s="129"/>
      <c r="F324" s="129"/>
      <c r="G324" s="129"/>
      <c r="H324" s="129"/>
      <c r="I324" s="129"/>
      <c r="J324" s="129"/>
    </row>
    <row r="325" spans="1:10" x14ac:dyDescent="0.2">
      <c r="A325" s="129"/>
      <c r="B325" s="129"/>
      <c r="C325" s="129"/>
      <c r="D325" s="129"/>
      <c r="E325" s="129"/>
      <c r="F325" s="129"/>
      <c r="G325" s="129"/>
      <c r="H325" s="129"/>
      <c r="I325" s="129"/>
      <c r="J325" s="129"/>
    </row>
    <row r="326" spans="1:10" ht="22.5" x14ac:dyDescent="0.2">
      <c r="A326" s="180" t="s">
        <v>315</v>
      </c>
      <c r="B326" s="180"/>
      <c r="C326" s="180"/>
      <c r="D326" s="180"/>
      <c r="E326" s="180"/>
      <c r="F326" s="184" t="str">
        <f>F266</f>
        <v xml:space="preserve"> Actual 2014-2015</v>
      </c>
      <c r="G326" s="184" t="str">
        <f>G266</f>
        <v xml:space="preserve"> Estimate 2015-2016</v>
      </c>
      <c r="H326" s="184" t="str">
        <f>H266</f>
        <v xml:space="preserve"> Target 2016-2017</v>
      </c>
      <c r="I326" s="184" t="str">
        <f>I266</f>
        <v xml:space="preserve"> Target 2017-2018</v>
      </c>
      <c r="J326" s="184" t="str">
        <f>J266</f>
        <v xml:space="preserve"> Target 2018-2019</v>
      </c>
    </row>
    <row r="327" spans="1:10" x14ac:dyDescent="0.2">
      <c r="A327" s="180" t="s">
        <v>316</v>
      </c>
      <c r="B327" s="180"/>
      <c r="C327" s="180"/>
      <c r="D327" s="180"/>
      <c r="E327" s="180"/>
      <c r="F327" s="180"/>
      <c r="G327" s="180"/>
      <c r="H327" s="180"/>
      <c r="I327" s="180"/>
      <c r="J327" s="180"/>
    </row>
    <row r="328" spans="1:10" ht="14.25" customHeight="1" x14ac:dyDescent="0.2">
      <c r="A328" s="188" t="s">
        <v>934</v>
      </c>
      <c r="B328" s="188"/>
      <c r="C328" s="188"/>
      <c r="D328" s="188"/>
      <c r="E328" s="188"/>
      <c r="F328" s="390" t="s">
        <v>480</v>
      </c>
      <c r="G328" s="390" t="s">
        <v>480</v>
      </c>
      <c r="H328" s="391">
        <v>42491</v>
      </c>
      <c r="I328" s="391">
        <v>42491</v>
      </c>
      <c r="J328" s="391">
        <v>42491</v>
      </c>
    </row>
    <row r="329" spans="1:10" ht="14.25" customHeight="1" x14ac:dyDescent="0.2">
      <c r="A329" s="188" t="s">
        <v>935</v>
      </c>
      <c r="B329" s="188"/>
      <c r="C329" s="188"/>
      <c r="D329" s="188"/>
      <c r="E329" s="188"/>
      <c r="F329" s="392"/>
      <c r="G329" s="392"/>
      <c r="H329" s="390">
        <v>4</v>
      </c>
      <c r="I329" s="390">
        <v>3</v>
      </c>
      <c r="J329" s="390">
        <v>2</v>
      </c>
    </row>
    <row r="330" spans="1:10" x14ac:dyDescent="0.2">
      <c r="A330" s="188" t="s">
        <v>936</v>
      </c>
      <c r="B330" s="188"/>
      <c r="C330" s="188"/>
      <c r="D330" s="188"/>
      <c r="E330" s="188"/>
      <c r="F330" s="392"/>
      <c r="G330" s="392"/>
      <c r="H330" s="390">
        <v>2</v>
      </c>
      <c r="I330" s="390">
        <v>2</v>
      </c>
      <c r="J330" s="390">
        <v>2</v>
      </c>
    </row>
    <row r="331" spans="1:10" ht="14.25" customHeight="1" x14ac:dyDescent="0.2">
      <c r="A331" s="188" t="s">
        <v>937</v>
      </c>
      <c r="B331" s="188"/>
      <c r="C331" s="188"/>
      <c r="D331" s="188"/>
      <c r="E331" s="188"/>
      <c r="F331" s="392"/>
      <c r="G331" s="392"/>
      <c r="H331" s="390">
        <v>1</v>
      </c>
      <c r="I331" s="390">
        <v>1</v>
      </c>
      <c r="J331" s="390">
        <v>1</v>
      </c>
    </row>
    <row r="332" spans="1:10" x14ac:dyDescent="0.2">
      <c r="A332" s="188"/>
      <c r="B332" s="188"/>
      <c r="C332" s="188"/>
      <c r="D332" s="188"/>
      <c r="E332" s="188"/>
      <c r="F332" s="393"/>
      <c r="G332" s="394"/>
      <c r="H332" s="394"/>
      <c r="I332" s="394"/>
      <c r="J332" s="394"/>
    </row>
    <row r="333" spans="1:10" x14ac:dyDescent="0.2">
      <c r="A333" s="180" t="s">
        <v>324</v>
      </c>
      <c r="B333" s="180"/>
      <c r="C333" s="180"/>
      <c r="D333" s="180"/>
      <c r="E333" s="180"/>
      <c r="F333" s="395"/>
      <c r="G333" s="395"/>
      <c r="H333" s="395"/>
      <c r="I333" s="395"/>
      <c r="J333" s="395"/>
    </row>
    <row r="334" spans="1:10" x14ac:dyDescent="0.2">
      <c r="A334" s="372" t="s">
        <v>938</v>
      </c>
      <c r="B334" s="372"/>
      <c r="C334" s="372"/>
      <c r="D334" s="372"/>
      <c r="E334" s="372"/>
      <c r="F334" s="390" t="s">
        <v>480</v>
      </c>
      <c r="G334" s="390" t="s">
        <v>480</v>
      </c>
      <c r="H334" s="396">
        <v>0.3</v>
      </c>
      <c r="I334" s="396">
        <v>0.4</v>
      </c>
      <c r="J334" s="396">
        <v>0.5</v>
      </c>
    </row>
    <row r="335" spans="1:10" x14ac:dyDescent="0.2">
      <c r="A335" s="372" t="s">
        <v>939</v>
      </c>
      <c r="B335" s="372"/>
      <c r="C335" s="372"/>
      <c r="D335" s="372"/>
      <c r="E335" s="372"/>
      <c r="F335" s="390" t="s">
        <v>480</v>
      </c>
      <c r="G335" s="390" t="s">
        <v>480</v>
      </c>
      <c r="H335" s="396">
        <v>0.3</v>
      </c>
      <c r="I335" s="396">
        <v>0.4</v>
      </c>
      <c r="J335" s="396">
        <v>0.5</v>
      </c>
    </row>
    <row r="336" spans="1:10" x14ac:dyDescent="0.2">
      <c r="A336" s="372"/>
      <c r="B336" s="372"/>
      <c r="C336" s="372"/>
      <c r="D336" s="372"/>
      <c r="E336" s="372"/>
      <c r="F336" s="393"/>
      <c r="G336" s="394"/>
      <c r="H336" s="394"/>
      <c r="I336" s="394"/>
      <c r="J336" s="394"/>
    </row>
    <row r="337" spans="1:10" x14ac:dyDescent="0.2">
      <c r="A337" s="129"/>
      <c r="B337" s="129"/>
      <c r="C337" s="129"/>
      <c r="D337" s="129"/>
      <c r="E337" s="129"/>
      <c r="F337" s="129"/>
      <c r="G337" s="129"/>
      <c r="H337" s="129"/>
      <c r="I337" s="129"/>
      <c r="J337" s="129"/>
    </row>
    <row r="338" spans="1:10" x14ac:dyDescent="0.2">
      <c r="A338" s="150" t="s">
        <v>940</v>
      </c>
      <c r="B338" s="150"/>
      <c r="C338" s="150"/>
      <c r="D338" s="150"/>
      <c r="E338" s="150"/>
      <c r="F338" s="150"/>
      <c r="G338" s="150"/>
      <c r="H338" s="150"/>
      <c r="I338" s="150"/>
      <c r="J338" s="150"/>
    </row>
    <row r="339" spans="1:10" x14ac:dyDescent="0.2">
      <c r="A339" s="151" t="s">
        <v>291</v>
      </c>
      <c r="B339" s="151"/>
      <c r="C339" s="151"/>
      <c r="D339" s="101"/>
      <c r="E339" s="101"/>
      <c r="F339" s="101"/>
      <c r="G339" s="101"/>
      <c r="H339" s="101"/>
      <c r="I339" s="101"/>
      <c r="J339" s="101"/>
    </row>
    <row r="340" spans="1:10" ht="23.25" customHeight="1" x14ac:dyDescent="0.2">
      <c r="A340" s="129" t="s">
        <v>941</v>
      </c>
      <c r="B340" s="129"/>
      <c r="C340" s="129"/>
      <c r="D340" s="129"/>
      <c r="E340" s="129"/>
      <c r="F340" s="129"/>
      <c r="G340" s="129"/>
      <c r="H340" s="129"/>
      <c r="I340" s="129"/>
      <c r="J340" s="129"/>
    </row>
    <row r="341" spans="1:10" x14ac:dyDescent="0.2">
      <c r="A341" s="128" t="s">
        <v>293</v>
      </c>
      <c r="B341" s="128"/>
      <c r="C341" s="128"/>
      <c r="D341" s="128"/>
      <c r="E341" s="128"/>
      <c r="F341" s="128"/>
      <c r="G341" s="128"/>
      <c r="H341" s="128"/>
      <c r="I341" s="128"/>
      <c r="J341" s="128"/>
    </row>
    <row r="342" spans="1:10" ht="33.75" x14ac:dyDescent="0.2">
      <c r="A342" s="152" t="s">
        <v>243</v>
      </c>
      <c r="B342" s="151" t="s">
        <v>242</v>
      </c>
      <c r="C342" s="151"/>
      <c r="D342" s="151"/>
      <c r="E342" s="132" t="str">
        <f t="shared" ref="E342:J342" si="56">E283</f>
        <v>Actuals           2014-2015</v>
      </c>
      <c r="F342" s="132" t="str">
        <f t="shared" si="56"/>
        <v>Approved Estimates          2015-2016</v>
      </c>
      <c r="G342" s="132" t="str">
        <f t="shared" si="56"/>
        <v>Revised Estimates                 2015-2016</v>
      </c>
      <c r="H342" s="132" t="str">
        <f t="shared" si="56"/>
        <v>Budget Estimates      2016-2017</v>
      </c>
      <c r="I342" s="132" t="str">
        <f t="shared" si="56"/>
        <v>Forward Estimates     2017-2018</v>
      </c>
      <c r="J342" s="132" t="str">
        <f t="shared" si="56"/>
        <v>Forward Estimates     2018-2019</v>
      </c>
    </row>
    <row r="343" spans="1:10" x14ac:dyDescent="0.2">
      <c r="A343" s="133"/>
      <c r="B343" s="134"/>
      <c r="C343" s="134"/>
      <c r="D343" s="134"/>
      <c r="E343" s="135">
        <v>0</v>
      </c>
      <c r="F343" s="262">
        <v>0</v>
      </c>
      <c r="G343" s="262">
        <v>0</v>
      </c>
      <c r="H343" s="136"/>
      <c r="I343" s="158"/>
      <c r="J343" s="158"/>
    </row>
    <row r="344" spans="1:10" x14ac:dyDescent="0.2">
      <c r="A344" s="137" t="s">
        <v>889</v>
      </c>
      <c r="B344" s="137"/>
      <c r="C344" s="137"/>
      <c r="D344" s="137"/>
      <c r="E344" s="138">
        <f t="shared" ref="E344:J344" si="57">SUM(E343:E343)</f>
        <v>0</v>
      </c>
      <c r="F344" s="138">
        <f t="shared" si="57"/>
        <v>0</v>
      </c>
      <c r="G344" s="138">
        <f t="shared" si="57"/>
        <v>0</v>
      </c>
      <c r="H344" s="138">
        <f t="shared" si="57"/>
        <v>0</v>
      </c>
      <c r="I344" s="138">
        <f t="shared" si="57"/>
        <v>0</v>
      </c>
      <c r="J344" s="138">
        <f t="shared" si="57"/>
        <v>0</v>
      </c>
    </row>
    <row r="345" spans="1:10" x14ac:dyDescent="0.2">
      <c r="A345" s="129"/>
      <c r="B345" s="129"/>
      <c r="C345" s="129"/>
      <c r="D345" s="129"/>
      <c r="E345" s="129"/>
      <c r="F345" s="129"/>
      <c r="G345" s="129"/>
      <c r="H345" s="129"/>
      <c r="I345" s="129"/>
      <c r="J345" s="129"/>
    </row>
    <row r="346" spans="1:10" x14ac:dyDescent="0.2">
      <c r="A346" s="128" t="s">
        <v>284</v>
      </c>
      <c r="B346" s="128"/>
      <c r="C346" s="128"/>
      <c r="D346" s="128"/>
      <c r="E346" s="128"/>
      <c r="F346" s="128"/>
      <c r="G346" s="128"/>
      <c r="H346" s="128"/>
      <c r="I346" s="128"/>
      <c r="J346" s="128"/>
    </row>
    <row r="347" spans="1:10" ht="33.75" x14ac:dyDescent="0.2">
      <c r="A347" s="152" t="s">
        <v>243</v>
      </c>
      <c r="B347" s="151" t="s">
        <v>242</v>
      </c>
      <c r="C347" s="151"/>
      <c r="D347" s="151"/>
      <c r="E347" s="132" t="str">
        <f t="shared" ref="E347:J347" si="58">E288</f>
        <v>Actuals           2014-2015</v>
      </c>
      <c r="F347" s="132" t="str">
        <f t="shared" si="58"/>
        <v>Approved Estimates          2015-2016</v>
      </c>
      <c r="G347" s="132" t="str">
        <f t="shared" si="58"/>
        <v>Revised Estimates                 2015-2016</v>
      </c>
      <c r="H347" s="132" t="str">
        <f t="shared" si="58"/>
        <v>Budget Estimates      2016-2017</v>
      </c>
      <c r="I347" s="132" t="str">
        <f t="shared" si="58"/>
        <v>Forward Estimates     2017-2018</v>
      </c>
      <c r="J347" s="132" t="str">
        <f t="shared" si="58"/>
        <v>Forward Estimates     2018-2019</v>
      </c>
    </row>
    <row r="348" spans="1:10" x14ac:dyDescent="0.2">
      <c r="A348" s="151" t="s">
        <v>7</v>
      </c>
      <c r="B348" s="151"/>
      <c r="C348" s="151"/>
      <c r="D348" s="151"/>
      <c r="E348" s="151"/>
      <c r="F348" s="151"/>
      <c r="G348" s="151"/>
      <c r="H348" s="151"/>
      <c r="I348" s="151"/>
      <c r="J348" s="190"/>
    </row>
    <row r="349" spans="1:10" x14ac:dyDescent="0.2">
      <c r="A349" s="133">
        <v>210</v>
      </c>
      <c r="B349" s="134" t="s">
        <v>7</v>
      </c>
      <c r="C349" s="134"/>
      <c r="D349" s="134"/>
      <c r="E349" s="135">
        <v>0</v>
      </c>
      <c r="F349" s="262">
        <v>545200</v>
      </c>
      <c r="G349" s="262">
        <v>504600</v>
      </c>
      <c r="H349" s="136">
        <v>518200</v>
      </c>
      <c r="I349" s="158">
        <v>559600</v>
      </c>
      <c r="J349" s="158">
        <v>566200</v>
      </c>
    </row>
    <row r="350" spans="1:10" x14ac:dyDescent="0.2">
      <c r="A350" s="133">
        <v>212</v>
      </c>
      <c r="B350" s="134" t="s">
        <v>9</v>
      </c>
      <c r="C350" s="134"/>
      <c r="D350" s="134"/>
      <c r="E350" s="135">
        <v>0</v>
      </c>
      <c r="F350" s="262">
        <v>0</v>
      </c>
      <c r="G350" s="262">
        <v>0</v>
      </c>
      <c r="H350" s="136">
        <v>0</v>
      </c>
      <c r="I350" s="158">
        <v>0</v>
      </c>
      <c r="J350" s="158">
        <v>0</v>
      </c>
    </row>
    <row r="351" spans="1:10" x14ac:dyDescent="0.2">
      <c r="A351" s="133">
        <v>216</v>
      </c>
      <c r="B351" s="134" t="s">
        <v>10</v>
      </c>
      <c r="C351" s="134"/>
      <c r="D351" s="134"/>
      <c r="E351" s="135">
        <v>0</v>
      </c>
      <c r="F351" s="262">
        <v>112300</v>
      </c>
      <c r="G351" s="262">
        <v>77600</v>
      </c>
      <c r="H351" s="136">
        <v>86700</v>
      </c>
      <c r="I351" s="158">
        <v>86700</v>
      </c>
      <c r="J351" s="158">
        <v>86700</v>
      </c>
    </row>
    <row r="352" spans="1:10" x14ac:dyDescent="0.2">
      <c r="A352" s="133">
        <v>218</v>
      </c>
      <c r="B352" s="134" t="s">
        <v>294</v>
      </c>
      <c r="C352" s="134"/>
      <c r="D352" s="134"/>
      <c r="E352" s="135">
        <v>0</v>
      </c>
      <c r="F352" s="262">
        <v>0</v>
      </c>
      <c r="G352" s="262">
        <v>0</v>
      </c>
      <c r="H352" s="136">
        <v>0</v>
      </c>
      <c r="I352" s="158">
        <v>0</v>
      </c>
      <c r="J352" s="158">
        <v>0</v>
      </c>
    </row>
    <row r="353" spans="1:10" x14ac:dyDescent="0.2">
      <c r="A353" s="156" t="s">
        <v>295</v>
      </c>
      <c r="B353" s="156"/>
      <c r="C353" s="156"/>
      <c r="D353" s="156"/>
      <c r="E353" s="157">
        <f t="shared" ref="E353:J353" si="59">SUM(E349:E352)</f>
        <v>0</v>
      </c>
      <c r="F353" s="157">
        <f t="shared" si="59"/>
        <v>657500</v>
      </c>
      <c r="G353" s="157">
        <f t="shared" si="59"/>
        <v>582200</v>
      </c>
      <c r="H353" s="157">
        <f t="shared" si="59"/>
        <v>604900</v>
      </c>
      <c r="I353" s="157">
        <f t="shared" si="59"/>
        <v>646300</v>
      </c>
      <c r="J353" s="157">
        <f t="shared" si="59"/>
        <v>652900</v>
      </c>
    </row>
    <row r="354" spans="1:10" x14ac:dyDescent="0.2">
      <c r="A354" s="156" t="s">
        <v>296</v>
      </c>
      <c r="B354" s="156"/>
      <c r="C354" s="156"/>
      <c r="D354" s="156"/>
      <c r="E354" s="156"/>
      <c r="F354" s="156"/>
      <c r="G354" s="156"/>
      <c r="H354" s="156"/>
      <c r="I354" s="156"/>
      <c r="J354" s="190"/>
    </row>
    <row r="355" spans="1:10" x14ac:dyDescent="0.2">
      <c r="A355" s="133">
        <v>226</v>
      </c>
      <c r="B355" s="134" t="s">
        <v>207</v>
      </c>
      <c r="C355" s="134"/>
      <c r="D355" s="134"/>
      <c r="E355" s="135">
        <v>0</v>
      </c>
      <c r="F355" s="262">
        <v>251000</v>
      </c>
      <c r="G355" s="262">
        <v>251000</v>
      </c>
      <c r="H355" s="136">
        <v>251000</v>
      </c>
      <c r="I355" s="158">
        <v>251000</v>
      </c>
      <c r="J355" s="158">
        <v>251000</v>
      </c>
    </row>
    <row r="356" spans="1:10" x14ac:dyDescent="0.2">
      <c r="A356" s="133">
        <v>228</v>
      </c>
      <c r="B356" s="134" t="s">
        <v>208</v>
      </c>
      <c r="C356" s="134"/>
      <c r="D356" s="134"/>
      <c r="E356" s="135">
        <v>0</v>
      </c>
      <c r="F356" s="262">
        <v>6000</v>
      </c>
      <c r="G356" s="262">
        <v>6300</v>
      </c>
      <c r="H356" s="136">
        <v>6000</v>
      </c>
      <c r="I356" s="158">
        <v>6000</v>
      </c>
      <c r="J356" s="158">
        <v>6000</v>
      </c>
    </row>
    <row r="357" spans="1:10" x14ac:dyDescent="0.2">
      <c r="A357" s="133">
        <v>232</v>
      </c>
      <c r="B357" s="134" t="s">
        <v>211</v>
      </c>
      <c r="C357" s="134"/>
      <c r="D357" s="134"/>
      <c r="E357" s="135">
        <v>0</v>
      </c>
      <c r="F357" s="262">
        <v>165000</v>
      </c>
      <c r="G357" s="262">
        <v>176700</v>
      </c>
      <c r="H357" s="136">
        <v>165000</v>
      </c>
      <c r="I357" s="158">
        <v>165000</v>
      </c>
      <c r="J357" s="158">
        <v>165000</v>
      </c>
    </row>
    <row r="358" spans="1:10" x14ac:dyDescent="0.2">
      <c r="A358" s="133">
        <v>236</v>
      </c>
      <c r="B358" s="134" t="s">
        <v>213</v>
      </c>
      <c r="C358" s="134"/>
      <c r="D358" s="134"/>
      <c r="E358" s="135">
        <v>0</v>
      </c>
      <c r="F358" s="262">
        <v>769000</v>
      </c>
      <c r="G358" s="262">
        <v>769000</v>
      </c>
      <c r="H358" s="136">
        <v>769000</v>
      </c>
      <c r="I358" s="158">
        <v>769000</v>
      </c>
      <c r="J358" s="158">
        <v>769000</v>
      </c>
    </row>
    <row r="359" spans="1:10" x14ac:dyDescent="0.2">
      <c r="A359" s="133">
        <v>275</v>
      </c>
      <c r="B359" s="134" t="s">
        <v>228</v>
      </c>
      <c r="C359" s="134"/>
      <c r="D359" s="134"/>
      <c r="E359" s="135">
        <v>0</v>
      </c>
      <c r="F359" s="262">
        <v>1000</v>
      </c>
      <c r="G359" s="262">
        <v>1000</v>
      </c>
      <c r="H359" s="136">
        <v>1000</v>
      </c>
      <c r="I359" s="158">
        <v>1000</v>
      </c>
      <c r="J359" s="158">
        <v>1000</v>
      </c>
    </row>
    <row r="360" spans="1:10" x14ac:dyDescent="0.2">
      <c r="A360" s="156" t="s">
        <v>298</v>
      </c>
      <c r="B360" s="156"/>
      <c r="C360" s="156"/>
      <c r="D360" s="156"/>
      <c r="E360" s="157">
        <f t="shared" ref="E360:J360" si="60">SUM(E355:E359)</f>
        <v>0</v>
      </c>
      <c r="F360" s="264">
        <f t="shared" si="60"/>
        <v>1192000</v>
      </c>
      <c r="G360" s="157">
        <f t="shared" si="60"/>
        <v>1204000</v>
      </c>
      <c r="H360" s="157">
        <f t="shared" si="60"/>
        <v>1192000</v>
      </c>
      <c r="I360" s="157">
        <f t="shared" si="60"/>
        <v>1192000</v>
      </c>
      <c r="J360" s="157">
        <f t="shared" si="60"/>
        <v>1192000</v>
      </c>
    </row>
    <row r="361" spans="1:10" x14ac:dyDescent="0.2">
      <c r="A361" s="159" t="s">
        <v>299</v>
      </c>
      <c r="B361" s="159"/>
      <c r="C361" s="159"/>
      <c r="D361" s="159"/>
      <c r="E361" s="160">
        <f t="shared" ref="E361:J361" si="61">SUM(E353,E360)</f>
        <v>0</v>
      </c>
      <c r="F361" s="160">
        <f t="shared" si="61"/>
        <v>1849500</v>
      </c>
      <c r="G361" s="160">
        <f t="shared" si="61"/>
        <v>1786200</v>
      </c>
      <c r="H361" s="160">
        <f t="shared" si="61"/>
        <v>1796900</v>
      </c>
      <c r="I361" s="160">
        <f t="shared" si="61"/>
        <v>1838300</v>
      </c>
      <c r="J361" s="160">
        <f t="shared" si="61"/>
        <v>1844900</v>
      </c>
    </row>
    <row r="362" spans="1:10" x14ac:dyDescent="0.2">
      <c r="A362" s="129"/>
      <c r="B362" s="129"/>
      <c r="C362" s="129"/>
      <c r="D362" s="129"/>
      <c r="E362" s="129"/>
      <c r="F362" s="129"/>
      <c r="G362" s="129"/>
      <c r="H362" s="129"/>
      <c r="I362" s="129"/>
      <c r="J362" s="190"/>
    </row>
    <row r="363" spans="1:10" x14ac:dyDescent="0.2">
      <c r="A363" s="162" t="s">
        <v>15</v>
      </c>
      <c r="B363" s="162"/>
      <c r="C363" s="162"/>
      <c r="D363" s="162"/>
      <c r="E363" s="162"/>
      <c r="F363" s="162"/>
      <c r="G363" s="162"/>
      <c r="H363" s="162"/>
      <c r="I363" s="162"/>
      <c r="J363" s="162"/>
    </row>
    <row r="364" spans="1:10" ht="17.25" customHeight="1" x14ac:dyDescent="0.2">
      <c r="A364" s="131" t="s">
        <v>242</v>
      </c>
      <c r="B364" s="131"/>
      <c r="C364" s="131"/>
      <c r="D364" s="131"/>
      <c r="E364" s="218" t="str">
        <f t="shared" ref="E364:J364" si="62">E304</f>
        <v>Actuals           2014-2015</v>
      </c>
      <c r="F364" s="218" t="str">
        <f t="shared" si="62"/>
        <v>Approved Estimates          2015-2016</v>
      </c>
      <c r="G364" s="218" t="str">
        <f t="shared" si="62"/>
        <v>Revised Estimates                 2015-2016</v>
      </c>
      <c r="H364" s="218" t="str">
        <f t="shared" si="62"/>
        <v>Budget Estimates      2016-2017</v>
      </c>
      <c r="I364" s="218" t="str">
        <f t="shared" si="62"/>
        <v>Forward Estimates     2017-2018</v>
      </c>
      <c r="J364" s="218" t="str">
        <f t="shared" si="62"/>
        <v>Forward Estimates     2018-2019</v>
      </c>
    </row>
    <row r="365" spans="1:10" ht="16.5" customHeight="1" x14ac:dyDescent="0.2">
      <c r="A365" s="130" t="s">
        <v>243</v>
      </c>
      <c r="B365" s="130" t="s">
        <v>244</v>
      </c>
      <c r="C365" s="131" t="s">
        <v>245</v>
      </c>
      <c r="D365" s="131"/>
      <c r="E365" s="219"/>
      <c r="F365" s="219"/>
      <c r="G365" s="219"/>
      <c r="H365" s="219"/>
      <c r="I365" s="219"/>
      <c r="J365" s="219"/>
    </row>
    <row r="366" spans="1:10" x14ac:dyDescent="0.2">
      <c r="A366" s="163"/>
      <c r="B366" s="163"/>
      <c r="C366" s="156"/>
      <c r="D366" s="156"/>
      <c r="E366" s="158"/>
      <c r="F366" s="209"/>
      <c r="G366" s="158"/>
      <c r="H366" s="136"/>
      <c r="I366" s="158"/>
      <c r="J366" s="135"/>
    </row>
    <row r="367" spans="1:10" x14ac:dyDescent="0.2">
      <c r="A367" s="163"/>
      <c r="B367" s="163"/>
      <c r="C367" s="156"/>
      <c r="D367" s="156"/>
      <c r="E367" s="158"/>
      <c r="F367" s="209"/>
      <c r="G367" s="158"/>
      <c r="H367" s="136"/>
      <c r="I367" s="158"/>
      <c r="J367" s="135"/>
    </row>
    <row r="368" spans="1:10" x14ac:dyDescent="0.2">
      <c r="A368" s="137" t="s">
        <v>15</v>
      </c>
      <c r="B368" s="137"/>
      <c r="C368" s="137"/>
      <c r="D368" s="137"/>
      <c r="E368" s="138">
        <v>0</v>
      </c>
      <c r="F368" s="138">
        <v>0</v>
      </c>
      <c r="G368" s="138">
        <v>0</v>
      </c>
      <c r="H368" s="138">
        <v>0</v>
      </c>
      <c r="I368" s="138">
        <v>0</v>
      </c>
      <c r="J368" s="138">
        <v>0</v>
      </c>
    </row>
    <row r="369" spans="1:10" x14ac:dyDescent="0.2">
      <c r="A369" s="290"/>
      <c r="B369" s="290"/>
      <c r="C369" s="290"/>
      <c r="D369" s="290"/>
      <c r="E369" s="290"/>
      <c r="F369" s="290"/>
      <c r="G369" s="290"/>
      <c r="H369" s="290"/>
      <c r="I369" s="290"/>
      <c r="J369" s="290"/>
    </row>
    <row r="370" spans="1:10" x14ac:dyDescent="0.2">
      <c r="A370" s="161" t="s">
        <v>288</v>
      </c>
      <c r="B370" s="161"/>
      <c r="C370" s="161"/>
      <c r="D370" s="161"/>
      <c r="E370" s="161"/>
      <c r="F370" s="202"/>
      <c r="G370" s="202"/>
      <c r="H370" s="202"/>
      <c r="I370" s="202"/>
      <c r="J370" s="202"/>
    </row>
    <row r="371" spans="1:10" x14ac:dyDescent="0.2">
      <c r="A371" s="131" t="s">
        <v>300</v>
      </c>
      <c r="B371" s="131"/>
      <c r="C371" s="131"/>
      <c r="D371" s="132" t="s">
        <v>301</v>
      </c>
      <c r="E371" s="132" t="s">
        <v>302</v>
      </c>
      <c r="F371" s="131" t="s">
        <v>300</v>
      </c>
      <c r="G371" s="131"/>
      <c r="H371" s="131"/>
      <c r="I371" s="132" t="s">
        <v>301</v>
      </c>
      <c r="J371" s="132" t="s">
        <v>302</v>
      </c>
    </row>
    <row r="372" spans="1:10" ht="22.5" x14ac:dyDescent="0.2">
      <c r="A372" s="134" t="str">
        <f>Establishment!D206</f>
        <v>Director</v>
      </c>
      <c r="B372" s="134"/>
      <c r="C372" s="134"/>
      <c r="D372" s="133" t="str">
        <f>Establishment!E206</f>
        <v>R7</v>
      </c>
      <c r="E372" s="133">
        <f>Establishment!C206</f>
        <v>1</v>
      </c>
      <c r="F372" s="134" t="str">
        <f>Establishment!D211</f>
        <v>Systems Analyst</v>
      </c>
      <c r="G372" s="134"/>
      <c r="H372" s="134"/>
      <c r="I372" s="133" t="str">
        <f>Establishment!E211</f>
        <v>R22-16/17-13</v>
      </c>
      <c r="J372" s="133">
        <f>Establishment!C211</f>
        <v>1</v>
      </c>
    </row>
    <row r="373" spans="1:10" ht="14.25" customHeight="1" x14ac:dyDescent="0.2">
      <c r="A373" s="134" t="str">
        <f>Establishment!D207</f>
        <v>Systems Development Officer</v>
      </c>
      <c r="B373" s="134"/>
      <c r="C373" s="134"/>
      <c r="D373" s="133" t="str">
        <f>Establishment!E207</f>
        <v>R6</v>
      </c>
      <c r="E373" s="133">
        <f>Establishment!C207</f>
        <v>1</v>
      </c>
      <c r="F373" s="134" t="str">
        <f>Establishment!D212</f>
        <v>IT Technician 1</v>
      </c>
      <c r="G373" s="134"/>
      <c r="H373" s="134"/>
      <c r="I373" s="133" t="str">
        <f>Establishment!E212</f>
        <v>R22-18</v>
      </c>
      <c r="J373" s="133">
        <f>Establishment!C212</f>
        <v>4</v>
      </c>
    </row>
    <row r="374" spans="1:10" ht="14.25" customHeight="1" x14ac:dyDescent="0.2">
      <c r="A374" s="134" t="str">
        <f>Establishment!D208</f>
        <v>Systems Administrator</v>
      </c>
      <c r="B374" s="134"/>
      <c r="C374" s="134"/>
      <c r="D374" s="133" t="str">
        <f>Establishment!E208</f>
        <v>R22-16/17-13</v>
      </c>
      <c r="E374" s="133">
        <f>Establishment!C208</f>
        <v>1</v>
      </c>
      <c r="F374" s="134" t="str">
        <f>Establishment!D213</f>
        <v>Clerical Officer (Snr)</v>
      </c>
      <c r="G374" s="134"/>
      <c r="H374" s="134"/>
      <c r="I374" s="133" t="str">
        <f>Establishment!E213</f>
        <v>R33-29</v>
      </c>
      <c r="J374" s="133">
        <f>Establishment!C213</f>
        <v>1</v>
      </c>
    </row>
    <row r="375" spans="1:10" ht="14.25" customHeight="1" x14ac:dyDescent="0.2">
      <c r="A375" s="134" t="str">
        <f>Establishment!D209</f>
        <v>Programmer</v>
      </c>
      <c r="B375" s="134"/>
      <c r="C375" s="134"/>
      <c r="D375" s="133" t="str">
        <f>Establishment!E209</f>
        <v>R22-16/17-13</v>
      </c>
      <c r="E375" s="133">
        <f>Establishment!C209</f>
        <v>1</v>
      </c>
      <c r="F375" s="134" t="str">
        <f>Establishment!D214</f>
        <v>Help Desk Officer</v>
      </c>
      <c r="G375" s="134"/>
      <c r="H375" s="134"/>
      <c r="I375" s="133" t="str">
        <f>Establishment!E214</f>
        <v>R33-29</v>
      </c>
      <c r="J375" s="133">
        <f>Establishment!C214</f>
        <v>1</v>
      </c>
    </row>
    <row r="376" spans="1:10" ht="14.25" customHeight="1" x14ac:dyDescent="0.2">
      <c r="A376" s="134" t="str">
        <f>Establishment!D210</f>
        <v>Systems Engineer</v>
      </c>
      <c r="B376" s="134"/>
      <c r="C376" s="134"/>
      <c r="D376" s="133" t="str">
        <f>Establishment!E210</f>
        <v>R22-16/17-13</v>
      </c>
      <c r="E376" s="133">
        <f>Establishment!C210</f>
        <v>1</v>
      </c>
      <c r="F376" s="134" t="str">
        <f>Establishment!D215</f>
        <v>IT Technician II</v>
      </c>
      <c r="G376" s="134"/>
      <c r="H376" s="134"/>
      <c r="I376" s="133" t="str">
        <f>Establishment!E215</f>
        <v>R40-34</v>
      </c>
      <c r="J376" s="133">
        <f>Establishment!C215</f>
        <v>2</v>
      </c>
    </row>
    <row r="377" spans="1:10" ht="14.25" customHeight="1" x14ac:dyDescent="0.2">
      <c r="A377" s="203" t="s">
        <v>303</v>
      </c>
      <c r="B377" s="203"/>
      <c r="C377" s="203"/>
      <c r="D377" s="203"/>
      <c r="E377" s="203"/>
      <c r="F377" s="203"/>
      <c r="G377" s="203"/>
      <c r="H377" s="203"/>
      <c r="I377" s="203"/>
      <c r="J377" s="204">
        <f>SUM(E372:E376,J372:J376)</f>
        <v>14</v>
      </c>
    </row>
    <row r="378" spans="1:10" x14ac:dyDescent="0.2">
      <c r="A378" s="129"/>
      <c r="B378" s="129"/>
      <c r="C378" s="129"/>
      <c r="D378" s="129"/>
      <c r="E378" s="129"/>
      <c r="F378" s="179"/>
      <c r="G378" s="179"/>
      <c r="H378" s="179"/>
      <c r="I378" s="179"/>
      <c r="J378" s="179"/>
    </row>
    <row r="379" spans="1:10" x14ac:dyDescent="0.2">
      <c r="A379" s="180" t="s">
        <v>304</v>
      </c>
      <c r="B379" s="180"/>
      <c r="C379" s="180"/>
      <c r="D379" s="180"/>
      <c r="E379" s="180"/>
      <c r="F379" s="180"/>
      <c r="G379" s="180"/>
      <c r="H379" s="180"/>
      <c r="I379" s="180"/>
      <c r="J379" s="180"/>
    </row>
    <row r="380" spans="1:10" x14ac:dyDescent="0.2">
      <c r="A380" s="181" t="s">
        <v>305</v>
      </c>
      <c r="B380" s="181"/>
      <c r="C380" s="181"/>
      <c r="D380" s="181"/>
      <c r="E380" s="181"/>
      <c r="F380" s="181"/>
      <c r="G380" s="181"/>
      <c r="H380" s="181"/>
      <c r="I380" s="181"/>
      <c r="J380" s="181"/>
    </row>
    <row r="381" spans="1:10" x14ac:dyDescent="0.2">
      <c r="A381" s="129" t="s">
        <v>942</v>
      </c>
      <c r="B381" s="129"/>
      <c r="C381" s="129"/>
      <c r="D381" s="129"/>
      <c r="E381" s="129"/>
      <c r="F381" s="129"/>
      <c r="G381" s="129"/>
      <c r="H381" s="129"/>
      <c r="I381" s="129"/>
      <c r="J381" s="129"/>
    </row>
    <row r="382" spans="1:10" x14ac:dyDescent="0.2">
      <c r="A382" s="129" t="s">
        <v>943</v>
      </c>
      <c r="B382" s="129"/>
      <c r="C382" s="129"/>
      <c r="D382" s="129"/>
      <c r="E382" s="129"/>
      <c r="F382" s="129"/>
      <c r="G382" s="129"/>
      <c r="H382" s="129"/>
      <c r="I382" s="129"/>
      <c r="J382" s="129"/>
    </row>
    <row r="383" spans="1:10" x14ac:dyDescent="0.2">
      <c r="A383" s="129" t="s">
        <v>944</v>
      </c>
      <c r="B383" s="129"/>
      <c r="C383" s="129"/>
      <c r="D383" s="129"/>
      <c r="E383" s="129"/>
      <c r="F383" s="129"/>
      <c r="G383" s="129"/>
      <c r="H383" s="129"/>
      <c r="I383" s="129"/>
      <c r="J383" s="129"/>
    </row>
    <row r="384" spans="1:10" x14ac:dyDescent="0.2">
      <c r="A384" s="129" t="s">
        <v>945</v>
      </c>
      <c r="B384" s="129"/>
      <c r="C384" s="129"/>
      <c r="D384" s="129"/>
      <c r="E384" s="129"/>
      <c r="F384" s="129"/>
      <c r="G384" s="129"/>
      <c r="H384" s="129"/>
      <c r="I384" s="129"/>
      <c r="J384" s="129"/>
    </row>
    <row r="385" spans="1:10" x14ac:dyDescent="0.2">
      <c r="A385" s="129" t="s">
        <v>946</v>
      </c>
      <c r="B385" s="129"/>
      <c r="C385" s="129"/>
      <c r="D385" s="129"/>
      <c r="E385" s="129"/>
      <c r="F385" s="129"/>
      <c r="G385" s="129"/>
      <c r="H385" s="129"/>
      <c r="I385" s="129"/>
      <c r="J385" s="129"/>
    </row>
    <row r="386" spans="1:10" x14ac:dyDescent="0.2">
      <c r="A386" s="129"/>
      <c r="B386" s="129"/>
      <c r="C386" s="129"/>
      <c r="D386" s="129"/>
      <c r="E386" s="129"/>
      <c r="F386" s="129"/>
      <c r="G386" s="129"/>
      <c r="H386" s="129"/>
      <c r="I386" s="129"/>
      <c r="J386" s="129"/>
    </row>
    <row r="387" spans="1:10" x14ac:dyDescent="0.2">
      <c r="A387" s="183" t="s">
        <v>415</v>
      </c>
      <c r="B387" s="183"/>
      <c r="C387" s="183"/>
      <c r="D387" s="183"/>
      <c r="E387" s="183"/>
      <c r="F387" s="183"/>
      <c r="G387" s="183"/>
      <c r="H387" s="183"/>
      <c r="I387" s="183"/>
      <c r="J387" s="183"/>
    </row>
    <row r="388" spans="1:10" x14ac:dyDescent="0.2">
      <c r="A388" s="129"/>
      <c r="B388" s="129"/>
      <c r="C388" s="129"/>
      <c r="D388" s="129"/>
      <c r="E388" s="129"/>
      <c r="F388" s="129"/>
      <c r="G388" s="129"/>
      <c r="H388" s="129"/>
      <c r="I388" s="129"/>
      <c r="J388" s="129"/>
    </row>
    <row r="389" spans="1:10" x14ac:dyDescent="0.2">
      <c r="A389" s="129"/>
      <c r="B389" s="129"/>
      <c r="C389" s="129"/>
      <c r="D389" s="129"/>
      <c r="E389" s="129"/>
      <c r="F389" s="129"/>
      <c r="G389" s="129"/>
      <c r="H389" s="129"/>
      <c r="I389" s="129"/>
      <c r="J389" s="129"/>
    </row>
    <row r="390" spans="1:10" x14ac:dyDescent="0.2">
      <c r="A390" s="129"/>
      <c r="B390" s="129"/>
      <c r="C390" s="129"/>
      <c r="D390" s="129"/>
      <c r="E390" s="129"/>
      <c r="F390" s="129"/>
      <c r="G390" s="129"/>
      <c r="H390" s="129"/>
      <c r="I390" s="129"/>
      <c r="J390" s="129"/>
    </row>
    <row r="391" spans="1:10" ht="22.5" x14ac:dyDescent="0.2">
      <c r="A391" s="180" t="s">
        <v>315</v>
      </c>
      <c r="B391" s="180"/>
      <c r="C391" s="180"/>
      <c r="D391" s="180"/>
      <c r="E391" s="180"/>
      <c r="F391" s="184" t="str">
        <f>F326</f>
        <v xml:space="preserve"> Actual 2014-2015</v>
      </c>
      <c r="G391" s="184" t="str">
        <f>G326</f>
        <v xml:space="preserve"> Estimate 2015-2016</v>
      </c>
      <c r="H391" s="184" t="str">
        <f>H326</f>
        <v xml:space="preserve"> Target 2016-2017</v>
      </c>
      <c r="I391" s="184" t="str">
        <f>I326</f>
        <v xml:space="preserve"> Target 2017-2018</v>
      </c>
      <c r="J391" s="184" t="str">
        <f>J326</f>
        <v xml:space="preserve"> Target 2018-2019</v>
      </c>
    </row>
    <row r="392" spans="1:10" x14ac:dyDescent="0.2">
      <c r="A392" s="180" t="s">
        <v>316</v>
      </c>
      <c r="B392" s="180"/>
      <c r="C392" s="180"/>
      <c r="D392" s="180"/>
      <c r="E392" s="180"/>
      <c r="F392" s="180"/>
      <c r="G392" s="180"/>
      <c r="H392" s="180"/>
      <c r="I392" s="180"/>
      <c r="J392" s="180"/>
    </row>
    <row r="393" spans="1:10" x14ac:dyDescent="0.2">
      <c r="A393" s="372" t="s">
        <v>947</v>
      </c>
      <c r="B393" s="372"/>
      <c r="C393" s="372"/>
      <c r="D393" s="372"/>
      <c r="E393" s="372"/>
      <c r="F393" s="397" t="s">
        <v>523</v>
      </c>
      <c r="G393" s="397" t="s">
        <v>523</v>
      </c>
      <c r="H393" s="397" t="s">
        <v>948</v>
      </c>
      <c r="I393" s="397" t="s">
        <v>948</v>
      </c>
      <c r="J393" s="397" t="s">
        <v>523</v>
      </c>
    </row>
    <row r="394" spans="1:10" x14ac:dyDescent="0.2">
      <c r="A394" s="372" t="s">
        <v>949</v>
      </c>
      <c r="B394" s="372"/>
      <c r="C394" s="372"/>
      <c r="D394" s="372"/>
      <c r="E394" s="372"/>
      <c r="F394" s="397" t="s">
        <v>523</v>
      </c>
      <c r="G394" s="397" t="s">
        <v>523</v>
      </c>
      <c r="H394" s="397" t="s">
        <v>948</v>
      </c>
      <c r="I394" s="397" t="s">
        <v>948</v>
      </c>
      <c r="J394" s="397" t="s">
        <v>948</v>
      </c>
    </row>
    <row r="395" spans="1:10" x14ac:dyDescent="0.2">
      <c r="A395" s="372" t="s">
        <v>950</v>
      </c>
      <c r="B395" s="372"/>
      <c r="C395" s="372"/>
      <c r="D395" s="372"/>
      <c r="E395" s="372"/>
      <c r="F395" s="397" t="s">
        <v>951</v>
      </c>
      <c r="G395" s="397" t="s">
        <v>952</v>
      </c>
      <c r="H395" s="397" t="s">
        <v>952</v>
      </c>
      <c r="I395" s="397" t="s">
        <v>952</v>
      </c>
      <c r="J395" s="397" t="s">
        <v>952</v>
      </c>
    </row>
    <row r="396" spans="1:10" x14ac:dyDescent="0.2">
      <c r="A396" s="188" t="s">
        <v>660</v>
      </c>
      <c r="B396" s="188"/>
      <c r="C396" s="188"/>
      <c r="D396" s="188"/>
      <c r="E396" s="188"/>
      <c r="F396" s="273"/>
      <c r="G396" s="190"/>
      <c r="H396" s="190"/>
      <c r="I396" s="190"/>
      <c r="J396" s="190"/>
    </row>
    <row r="397" spans="1:10" x14ac:dyDescent="0.2">
      <c r="A397" s="180" t="s">
        <v>324</v>
      </c>
      <c r="B397" s="180"/>
      <c r="C397" s="180"/>
      <c r="D397" s="180"/>
      <c r="E397" s="180"/>
      <c r="F397" s="180"/>
      <c r="G397" s="180"/>
      <c r="H397" s="180"/>
      <c r="I397" s="180"/>
      <c r="J397" s="180"/>
    </row>
    <row r="398" spans="1:10" ht="24" customHeight="1" x14ac:dyDescent="0.2">
      <c r="A398" s="372" t="s">
        <v>953</v>
      </c>
      <c r="B398" s="372"/>
      <c r="C398" s="372"/>
      <c r="D398" s="372"/>
      <c r="E398" s="372"/>
      <c r="F398" s="397"/>
      <c r="G398" s="397" t="s">
        <v>524</v>
      </c>
      <c r="H398" s="397" t="s">
        <v>948</v>
      </c>
      <c r="I398" s="397" t="s">
        <v>948</v>
      </c>
      <c r="J398" s="397" t="s">
        <v>948</v>
      </c>
    </row>
    <row r="399" spans="1:10" x14ac:dyDescent="0.2">
      <c r="A399" s="372" t="s">
        <v>954</v>
      </c>
      <c r="B399" s="372"/>
      <c r="C399" s="372"/>
      <c r="D399" s="372"/>
      <c r="E399" s="372"/>
      <c r="F399" s="397"/>
      <c r="G399" s="397" t="s">
        <v>955</v>
      </c>
      <c r="H399" s="397" t="s">
        <v>955</v>
      </c>
      <c r="I399" s="397" t="s">
        <v>955</v>
      </c>
      <c r="J399" s="397" t="s">
        <v>955</v>
      </c>
    </row>
    <row r="400" spans="1:10" x14ac:dyDescent="0.2">
      <c r="A400" s="369"/>
      <c r="B400" s="369"/>
      <c r="C400" s="369"/>
      <c r="D400" s="369"/>
      <c r="E400" s="369"/>
      <c r="F400" s="273"/>
      <c r="G400" s="190"/>
      <c r="H400" s="190"/>
      <c r="I400" s="190"/>
      <c r="J400" s="190"/>
    </row>
    <row r="401" spans="1:10" x14ac:dyDescent="0.2">
      <c r="A401" s="129"/>
      <c r="B401" s="129"/>
      <c r="C401" s="129"/>
      <c r="D401" s="129"/>
      <c r="E401" s="129"/>
      <c r="F401" s="129"/>
      <c r="G401" s="129"/>
      <c r="H401" s="129"/>
      <c r="I401" s="129"/>
      <c r="J401" s="129"/>
    </row>
    <row r="402" spans="1:10" x14ac:dyDescent="0.2">
      <c r="A402" s="222"/>
      <c r="B402" s="222"/>
      <c r="C402" s="222"/>
      <c r="D402" s="222"/>
      <c r="E402" s="274" t="s">
        <v>382</v>
      </c>
      <c r="F402" s="229"/>
      <c r="G402" s="222"/>
      <c r="H402" s="222"/>
      <c r="I402" s="222"/>
      <c r="J402" s="223" t="s">
        <v>383</v>
      </c>
    </row>
    <row r="403" spans="1:10" ht="34.5" thickBot="1" x14ac:dyDescent="0.25">
      <c r="A403" s="224"/>
      <c r="B403" s="224" t="s">
        <v>188</v>
      </c>
      <c r="C403" s="225"/>
      <c r="D403" s="226"/>
      <c r="E403" s="184" t="str">
        <f t="shared" ref="E403:J403" si="63">E23</f>
        <v>Actuals           2014-2015</v>
      </c>
      <c r="F403" s="184" t="str">
        <f t="shared" si="63"/>
        <v>Approved Estimates          2015-2016</v>
      </c>
      <c r="G403" s="184" t="str">
        <f t="shared" si="63"/>
        <v>Revised Estimates                 2015-2016</v>
      </c>
      <c r="H403" s="184" t="str">
        <f t="shared" si="63"/>
        <v>Budget Estimates      2016-2017</v>
      </c>
      <c r="I403" s="184" t="str">
        <f t="shared" si="63"/>
        <v>Forward Estimates     2017-2018</v>
      </c>
      <c r="J403" s="184" t="str">
        <f t="shared" si="63"/>
        <v>Forward Estimates     2018-2019</v>
      </c>
    </row>
    <row r="404" spans="1:10" x14ac:dyDescent="0.2">
      <c r="A404" s="227"/>
      <c r="B404" s="227"/>
      <c r="C404" s="227"/>
      <c r="D404" s="227"/>
      <c r="E404" s="227"/>
      <c r="F404" s="227"/>
      <c r="G404" s="227"/>
      <c r="H404" s="227"/>
      <c r="I404" s="228"/>
      <c r="J404" s="227"/>
    </row>
    <row r="405" spans="1:10" x14ac:dyDescent="0.2">
      <c r="A405" s="229" t="s">
        <v>7</v>
      </c>
      <c r="B405" s="229"/>
      <c r="C405" s="229"/>
      <c r="D405" s="229"/>
      <c r="E405" s="222"/>
      <c r="F405" s="230"/>
      <c r="G405" s="230"/>
      <c r="H405" s="230"/>
      <c r="I405" s="222"/>
      <c r="J405" s="222"/>
    </row>
    <row r="406" spans="1:10" x14ac:dyDescent="0.2">
      <c r="A406" s="222"/>
      <c r="B406" s="222" t="s">
        <v>129</v>
      </c>
      <c r="C406" s="222"/>
      <c r="D406" s="222"/>
      <c r="E406" s="231">
        <f t="shared" ref="E406:J406" si="64">E77</f>
        <v>308589.45</v>
      </c>
      <c r="F406" s="231">
        <f t="shared" si="64"/>
        <v>665500</v>
      </c>
      <c r="G406" s="231">
        <f t="shared" si="64"/>
        <v>675800</v>
      </c>
      <c r="H406" s="231">
        <f t="shared" si="64"/>
        <v>792900</v>
      </c>
      <c r="I406" s="231">
        <f t="shared" si="64"/>
        <v>797300</v>
      </c>
      <c r="J406" s="231">
        <f t="shared" si="64"/>
        <v>801700</v>
      </c>
    </row>
    <row r="407" spans="1:10" x14ac:dyDescent="0.2">
      <c r="A407" s="222"/>
      <c r="B407" s="222" t="s">
        <v>119</v>
      </c>
      <c r="C407" s="222"/>
      <c r="D407" s="222"/>
      <c r="E407" s="231">
        <f t="shared" ref="E407:J407" si="65">E156</f>
        <v>0</v>
      </c>
      <c r="F407" s="231">
        <f t="shared" si="65"/>
        <v>666600</v>
      </c>
      <c r="G407" s="231">
        <f t="shared" si="65"/>
        <v>583600</v>
      </c>
      <c r="H407" s="231">
        <f t="shared" si="65"/>
        <v>583900</v>
      </c>
      <c r="I407" s="231">
        <f t="shared" si="65"/>
        <v>588100</v>
      </c>
      <c r="J407" s="231">
        <f t="shared" si="65"/>
        <v>592300</v>
      </c>
    </row>
    <row r="408" spans="1:10" x14ac:dyDescent="0.2">
      <c r="A408" s="222"/>
      <c r="B408" s="222" t="s">
        <v>193</v>
      </c>
      <c r="C408" s="222"/>
      <c r="D408" s="222"/>
      <c r="E408" s="231">
        <f t="shared" ref="E408:J408" si="66">E230</f>
        <v>204050</v>
      </c>
      <c r="F408" s="231">
        <f t="shared" si="66"/>
        <v>132100</v>
      </c>
      <c r="G408" s="231">
        <f t="shared" si="66"/>
        <v>105100</v>
      </c>
      <c r="H408" s="231">
        <f t="shared" si="66"/>
        <v>107700</v>
      </c>
      <c r="I408" s="231">
        <f t="shared" si="66"/>
        <v>132100</v>
      </c>
      <c r="J408" s="231">
        <f t="shared" si="66"/>
        <v>132100</v>
      </c>
    </row>
    <row r="409" spans="1:10" x14ac:dyDescent="0.2">
      <c r="A409" s="222"/>
      <c r="B409" s="222" t="s">
        <v>956</v>
      </c>
      <c r="C409" s="222"/>
      <c r="D409" s="222"/>
      <c r="E409" s="231">
        <f t="shared" ref="E409:J409" si="67">E290</f>
        <v>0</v>
      </c>
      <c r="F409" s="231">
        <f t="shared" si="67"/>
        <v>285200</v>
      </c>
      <c r="G409" s="231">
        <f t="shared" si="67"/>
        <v>239400</v>
      </c>
      <c r="H409" s="231">
        <f t="shared" si="67"/>
        <v>233200</v>
      </c>
      <c r="I409" s="231">
        <f t="shared" si="67"/>
        <v>251500</v>
      </c>
      <c r="J409" s="231">
        <f t="shared" si="67"/>
        <v>254600</v>
      </c>
    </row>
    <row r="410" spans="1:10" x14ac:dyDescent="0.2">
      <c r="A410" s="222"/>
      <c r="B410" s="222" t="s">
        <v>123</v>
      </c>
      <c r="C410" s="222"/>
      <c r="D410" s="222"/>
      <c r="E410" s="231">
        <f t="shared" ref="E410:J410" si="68">E349</f>
        <v>0</v>
      </c>
      <c r="F410" s="231">
        <f t="shared" si="68"/>
        <v>545200</v>
      </c>
      <c r="G410" s="231">
        <f t="shared" si="68"/>
        <v>504600</v>
      </c>
      <c r="H410" s="231">
        <f t="shared" si="68"/>
        <v>518200</v>
      </c>
      <c r="I410" s="231">
        <f t="shared" si="68"/>
        <v>559600</v>
      </c>
      <c r="J410" s="231">
        <f t="shared" si="68"/>
        <v>566200</v>
      </c>
    </row>
    <row r="411" spans="1:10" ht="15" thickBot="1" x14ac:dyDescent="0.25">
      <c r="A411" s="222"/>
      <c r="B411" s="222"/>
      <c r="C411" s="229" t="s">
        <v>385</v>
      </c>
      <c r="D411" s="235"/>
      <c r="E411" s="236">
        <f t="shared" ref="E411:J411" si="69">SUM(E406:E410)</f>
        <v>512639.45</v>
      </c>
      <c r="F411" s="236">
        <f t="shared" si="69"/>
        <v>2294600</v>
      </c>
      <c r="G411" s="236">
        <f t="shared" si="69"/>
        <v>2108500</v>
      </c>
      <c r="H411" s="236">
        <f t="shared" si="69"/>
        <v>2235900</v>
      </c>
      <c r="I411" s="236">
        <f t="shared" si="69"/>
        <v>2328600</v>
      </c>
      <c r="J411" s="236">
        <f t="shared" si="69"/>
        <v>2346900</v>
      </c>
    </row>
    <row r="412" spans="1:10" x14ac:dyDescent="0.2">
      <c r="A412" s="237" t="s">
        <v>196</v>
      </c>
      <c r="B412" s="237"/>
      <c r="C412" s="233"/>
      <c r="D412" s="238"/>
      <c r="E412" s="242"/>
      <c r="F412" s="242"/>
      <c r="G412" s="242"/>
      <c r="H412" s="242"/>
      <c r="I412" s="242"/>
      <c r="J412" s="242"/>
    </row>
    <row r="413" spans="1:10" x14ac:dyDescent="0.2">
      <c r="A413" s="222"/>
      <c r="B413" s="222" t="s">
        <v>129</v>
      </c>
      <c r="C413" s="222"/>
      <c r="D413" s="222"/>
      <c r="E413" s="231">
        <f t="shared" ref="E413:J413" si="70">E78</f>
        <v>0</v>
      </c>
      <c r="F413" s="231">
        <f t="shared" si="70"/>
        <v>18600</v>
      </c>
      <c r="G413" s="231">
        <f t="shared" si="70"/>
        <v>18600</v>
      </c>
      <c r="H413" s="231">
        <f t="shared" si="70"/>
        <v>18600</v>
      </c>
      <c r="I413" s="231">
        <f t="shared" si="70"/>
        <v>18600</v>
      </c>
      <c r="J413" s="231">
        <f t="shared" si="70"/>
        <v>18600</v>
      </c>
    </row>
    <row r="414" spans="1:10" x14ac:dyDescent="0.2">
      <c r="A414" s="222"/>
      <c r="B414" s="222" t="s">
        <v>119</v>
      </c>
      <c r="C414" s="222"/>
      <c r="D414" s="222"/>
      <c r="E414" s="231">
        <f t="shared" ref="E414:J414" si="71">E157</f>
        <v>0</v>
      </c>
      <c r="F414" s="231">
        <f t="shared" si="71"/>
        <v>10500</v>
      </c>
      <c r="G414" s="231">
        <f t="shared" si="71"/>
        <v>10500</v>
      </c>
      <c r="H414" s="231">
        <f t="shared" si="71"/>
        <v>36700</v>
      </c>
      <c r="I414" s="231">
        <f t="shared" si="71"/>
        <v>37900</v>
      </c>
      <c r="J414" s="231">
        <f t="shared" si="71"/>
        <v>39100</v>
      </c>
    </row>
    <row r="415" spans="1:10" x14ac:dyDescent="0.2">
      <c r="A415" s="222"/>
      <c r="B415" s="222" t="s">
        <v>193</v>
      </c>
      <c r="C415" s="222"/>
      <c r="D415" s="222"/>
      <c r="E415" s="231">
        <f t="shared" ref="E415:J415" si="72">E231</f>
        <v>0</v>
      </c>
      <c r="F415" s="231">
        <f t="shared" si="72"/>
        <v>0</v>
      </c>
      <c r="G415" s="231">
        <f t="shared" si="72"/>
        <v>0</v>
      </c>
      <c r="H415" s="231">
        <f t="shared" si="72"/>
        <v>0</v>
      </c>
      <c r="I415" s="231">
        <f t="shared" si="72"/>
        <v>0</v>
      </c>
      <c r="J415" s="231">
        <f t="shared" si="72"/>
        <v>0</v>
      </c>
    </row>
    <row r="416" spans="1:10" x14ac:dyDescent="0.2">
      <c r="A416" s="222"/>
      <c r="B416" s="222" t="s">
        <v>956</v>
      </c>
      <c r="C416" s="222"/>
      <c r="D416" s="222"/>
      <c r="E416" s="231">
        <f t="shared" ref="E416:J416" si="73">E291</f>
        <v>0</v>
      </c>
      <c r="F416" s="231">
        <f t="shared" si="73"/>
        <v>0</v>
      </c>
      <c r="G416" s="231">
        <f t="shared" si="73"/>
        <v>0</v>
      </c>
      <c r="H416" s="231">
        <f t="shared" si="73"/>
        <v>0</v>
      </c>
      <c r="I416" s="231">
        <f t="shared" si="73"/>
        <v>0</v>
      </c>
      <c r="J416" s="231">
        <f t="shared" si="73"/>
        <v>0</v>
      </c>
    </row>
    <row r="417" spans="1:10" x14ac:dyDescent="0.2">
      <c r="A417" s="222"/>
      <c r="B417" s="222" t="s">
        <v>123</v>
      </c>
      <c r="C417" s="222"/>
      <c r="D417" s="222"/>
      <c r="E417" s="231">
        <f t="shared" ref="E417:J417" si="74">E350</f>
        <v>0</v>
      </c>
      <c r="F417" s="231">
        <f t="shared" si="74"/>
        <v>0</v>
      </c>
      <c r="G417" s="231">
        <f t="shared" si="74"/>
        <v>0</v>
      </c>
      <c r="H417" s="231">
        <f t="shared" si="74"/>
        <v>0</v>
      </c>
      <c r="I417" s="231">
        <f t="shared" si="74"/>
        <v>0</v>
      </c>
      <c r="J417" s="231">
        <f t="shared" si="74"/>
        <v>0</v>
      </c>
    </row>
    <row r="418" spans="1:10" ht="15" thickBot="1" x14ac:dyDescent="0.25">
      <c r="A418" s="229"/>
      <c r="B418" s="229"/>
      <c r="C418" s="229" t="s">
        <v>386</v>
      </c>
      <c r="D418" s="239"/>
      <c r="E418" s="236">
        <f t="shared" ref="E418:J418" si="75">SUM(E413:E417)</f>
        <v>0</v>
      </c>
      <c r="F418" s="236">
        <f t="shared" si="75"/>
        <v>29100</v>
      </c>
      <c r="G418" s="236">
        <f t="shared" si="75"/>
        <v>29100</v>
      </c>
      <c r="H418" s="236">
        <f t="shared" si="75"/>
        <v>55300</v>
      </c>
      <c r="I418" s="236">
        <f t="shared" si="75"/>
        <v>56500</v>
      </c>
      <c r="J418" s="236">
        <f t="shared" si="75"/>
        <v>57700</v>
      </c>
    </row>
    <row r="419" spans="1:10" x14ac:dyDescent="0.2">
      <c r="A419" s="229" t="s">
        <v>387</v>
      </c>
      <c r="B419" s="222"/>
      <c r="C419" s="222"/>
      <c r="D419" s="240"/>
      <c r="E419" s="241"/>
      <c r="F419" s="241"/>
      <c r="G419" s="241"/>
      <c r="H419" s="241"/>
      <c r="I419" s="241"/>
      <c r="J419" s="241"/>
    </row>
    <row r="420" spans="1:10" x14ac:dyDescent="0.2">
      <c r="A420" s="222"/>
      <c r="B420" s="222" t="s">
        <v>129</v>
      </c>
      <c r="C420" s="222"/>
      <c r="D420" s="222"/>
      <c r="E420" s="231">
        <f t="shared" ref="E420:J420" si="76">E79</f>
        <v>176362.77</v>
      </c>
      <c r="F420" s="231">
        <f t="shared" si="76"/>
        <v>242200</v>
      </c>
      <c r="G420" s="231">
        <f t="shared" si="76"/>
        <v>242000</v>
      </c>
      <c r="H420" s="231">
        <f t="shared" si="76"/>
        <v>239900</v>
      </c>
      <c r="I420" s="231">
        <f t="shared" si="76"/>
        <v>239900</v>
      </c>
      <c r="J420" s="231">
        <f t="shared" si="76"/>
        <v>239900</v>
      </c>
    </row>
    <row r="421" spans="1:10" x14ac:dyDescent="0.2">
      <c r="A421" s="222"/>
      <c r="B421" s="222" t="s">
        <v>119</v>
      </c>
      <c r="C421" s="222"/>
      <c r="D421" s="222"/>
      <c r="E421" s="231">
        <f t="shared" ref="E421:J421" si="77">E158</f>
        <v>0</v>
      </c>
      <c r="F421" s="231">
        <f t="shared" si="77"/>
        <v>44700</v>
      </c>
      <c r="G421" s="231">
        <f t="shared" si="77"/>
        <v>32300</v>
      </c>
      <c r="H421" s="231">
        <f t="shared" si="77"/>
        <v>35600</v>
      </c>
      <c r="I421" s="231">
        <f t="shared" si="77"/>
        <v>44700</v>
      </c>
      <c r="J421" s="231">
        <f t="shared" si="77"/>
        <v>44700</v>
      </c>
    </row>
    <row r="422" spans="1:10" x14ac:dyDescent="0.2">
      <c r="A422" s="222"/>
      <c r="B422" s="222" t="s">
        <v>193</v>
      </c>
      <c r="C422" s="222"/>
      <c r="D422" s="222"/>
      <c r="E422" s="231">
        <f t="shared" ref="E422:J422" si="78">E232</f>
        <v>29750</v>
      </c>
      <c r="F422" s="231">
        <f t="shared" si="78"/>
        <v>23600</v>
      </c>
      <c r="G422" s="231">
        <f t="shared" si="78"/>
        <v>21000</v>
      </c>
      <c r="H422" s="231">
        <f t="shared" si="78"/>
        <v>52400</v>
      </c>
      <c r="I422" s="231">
        <f t="shared" si="78"/>
        <v>52400</v>
      </c>
      <c r="J422" s="231">
        <f t="shared" si="78"/>
        <v>52400</v>
      </c>
    </row>
    <row r="423" spans="1:10" x14ac:dyDescent="0.2">
      <c r="A423" s="222"/>
      <c r="B423" s="222" t="s">
        <v>956</v>
      </c>
      <c r="C423" s="222"/>
      <c r="D423" s="222"/>
      <c r="E423" s="231">
        <f t="shared" ref="E423:J423" si="79">E292</f>
        <v>0</v>
      </c>
      <c r="F423" s="231">
        <f t="shared" si="79"/>
        <v>48400</v>
      </c>
      <c r="G423" s="231">
        <f t="shared" si="79"/>
        <v>34600</v>
      </c>
      <c r="H423" s="231">
        <f t="shared" si="79"/>
        <v>42800</v>
      </c>
      <c r="I423" s="231">
        <f t="shared" si="79"/>
        <v>42800</v>
      </c>
      <c r="J423" s="231">
        <f t="shared" si="79"/>
        <v>42800</v>
      </c>
    </row>
    <row r="424" spans="1:10" x14ac:dyDescent="0.2">
      <c r="A424" s="222"/>
      <c r="B424" s="222" t="s">
        <v>123</v>
      </c>
      <c r="C424" s="222"/>
      <c r="D424" s="222"/>
      <c r="E424" s="231">
        <f t="shared" ref="E424:J424" si="80">E351</f>
        <v>0</v>
      </c>
      <c r="F424" s="231">
        <f t="shared" si="80"/>
        <v>112300</v>
      </c>
      <c r="G424" s="231">
        <f t="shared" si="80"/>
        <v>77600</v>
      </c>
      <c r="H424" s="231">
        <f t="shared" si="80"/>
        <v>86700</v>
      </c>
      <c r="I424" s="231">
        <f t="shared" si="80"/>
        <v>86700</v>
      </c>
      <c r="J424" s="231">
        <f t="shared" si="80"/>
        <v>86700</v>
      </c>
    </row>
    <row r="425" spans="1:10" ht="15" thickBot="1" x14ac:dyDescent="0.25">
      <c r="A425" s="222"/>
      <c r="B425" s="222"/>
      <c r="C425" s="229" t="s">
        <v>388</v>
      </c>
      <c r="D425" s="240"/>
      <c r="E425" s="236">
        <f t="shared" ref="E425:J425" si="81">SUM(E420:E424)</f>
        <v>206112.77</v>
      </c>
      <c r="F425" s="236">
        <f t="shared" si="81"/>
        <v>471200</v>
      </c>
      <c r="G425" s="236">
        <f t="shared" si="81"/>
        <v>407500</v>
      </c>
      <c r="H425" s="236">
        <f t="shared" si="81"/>
        <v>457400</v>
      </c>
      <c r="I425" s="236">
        <f t="shared" si="81"/>
        <v>466500</v>
      </c>
      <c r="J425" s="236">
        <f t="shared" si="81"/>
        <v>466500</v>
      </c>
    </row>
    <row r="426" spans="1:10" x14ac:dyDescent="0.2">
      <c r="A426" s="240"/>
      <c r="B426" s="229"/>
      <c r="C426" s="222"/>
      <c r="D426" s="240"/>
      <c r="E426" s="242"/>
      <c r="F426" s="242"/>
      <c r="G426" s="242"/>
      <c r="H426" s="242"/>
      <c r="I426" s="242"/>
      <c r="J426" s="242"/>
    </row>
    <row r="427" spans="1:10" x14ac:dyDescent="0.2">
      <c r="A427" s="229" t="s">
        <v>198</v>
      </c>
      <c r="B427" s="222"/>
      <c r="C427" s="222"/>
      <c r="D427" s="240"/>
      <c r="E427" s="230"/>
      <c r="F427" s="230"/>
      <c r="G427" s="230"/>
      <c r="H427" s="230"/>
      <c r="I427" s="230"/>
      <c r="J427" s="230"/>
    </row>
    <row r="428" spans="1:10" x14ac:dyDescent="0.2">
      <c r="A428" s="222"/>
      <c r="B428" s="222" t="s">
        <v>129</v>
      </c>
      <c r="C428" s="222"/>
      <c r="D428" s="222"/>
      <c r="E428" s="231">
        <f t="shared" ref="E428:J428" si="82">E80</f>
        <v>25677</v>
      </c>
      <c r="F428" s="231">
        <f t="shared" si="82"/>
        <v>0</v>
      </c>
      <c r="G428" s="231">
        <f t="shared" si="82"/>
        <v>0</v>
      </c>
      <c r="H428" s="231">
        <f t="shared" si="82"/>
        <v>9200</v>
      </c>
      <c r="I428" s="231">
        <f t="shared" si="82"/>
        <v>9200</v>
      </c>
      <c r="J428" s="231">
        <f t="shared" si="82"/>
        <v>9200</v>
      </c>
    </row>
    <row r="429" spans="1:10" x14ac:dyDescent="0.2">
      <c r="A429" s="222"/>
      <c r="B429" s="222" t="s">
        <v>119</v>
      </c>
      <c r="C429" s="222"/>
      <c r="D429" s="222"/>
      <c r="E429" s="231">
        <f t="shared" ref="E429:J429" si="83">E159</f>
        <v>0</v>
      </c>
      <c r="F429" s="231">
        <f t="shared" si="83"/>
        <v>9200</v>
      </c>
      <c r="G429" s="231">
        <f t="shared" si="83"/>
        <v>9200</v>
      </c>
      <c r="H429" s="231">
        <f t="shared" si="83"/>
        <v>9200</v>
      </c>
      <c r="I429" s="231">
        <f t="shared" si="83"/>
        <v>9200</v>
      </c>
      <c r="J429" s="231">
        <f t="shared" si="83"/>
        <v>9200</v>
      </c>
    </row>
    <row r="430" spans="1:10" x14ac:dyDescent="0.2">
      <c r="A430" s="222"/>
      <c r="B430" s="222" t="s">
        <v>193</v>
      </c>
      <c r="C430" s="222"/>
      <c r="D430" s="222"/>
      <c r="E430" s="231">
        <f t="shared" ref="E430:J430" si="84">E233</f>
        <v>9142.5</v>
      </c>
      <c r="F430" s="231">
        <f t="shared" si="84"/>
        <v>0</v>
      </c>
      <c r="G430" s="231">
        <f t="shared" si="84"/>
        <v>0</v>
      </c>
      <c r="H430" s="231">
        <f t="shared" si="84"/>
        <v>0</v>
      </c>
      <c r="I430" s="231">
        <f t="shared" si="84"/>
        <v>0</v>
      </c>
      <c r="J430" s="231">
        <f t="shared" si="84"/>
        <v>0</v>
      </c>
    </row>
    <row r="431" spans="1:10" x14ac:dyDescent="0.2">
      <c r="A431" s="222"/>
      <c r="B431" s="222" t="s">
        <v>956</v>
      </c>
      <c r="C431" s="222"/>
      <c r="D431" s="222"/>
      <c r="E431" s="231">
        <f t="shared" ref="E431:J431" si="85">E293</f>
        <v>0</v>
      </c>
      <c r="F431" s="231">
        <f t="shared" si="85"/>
        <v>13300</v>
      </c>
      <c r="G431" s="231">
        <f t="shared" si="85"/>
        <v>13300</v>
      </c>
      <c r="H431" s="231">
        <f t="shared" si="85"/>
        <v>0</v>
      </c>
      <c r="I431" s="231">
        <f t="shared" si="85"/>
        <v>15200</v>
      </c>
      <c r="J431" s="231">
        <f t="shared" si="85"/>
        <v>0</v>
      </c>
    </row>
    <row r="432" spans="1:10" x14ac:dyDescent="0.2">
      <c r="A432" s="222"/>
      <c r="B432" s="222" t="s">
        <v>123</v>
      </c>
      <c r="C432" s="222"/>
      <c r="D432" s="222"/>
      <c r="E432" s="231">
        <f t="shared" ref="E432:J432" si="86">E352</f>
        <v>0</v>
      </c>
      <c r="F432" s="231">
        <f t="shared" si="86"/>
        <v>0</v>
      </c>
      <c r="G432" s="231">
        <f t="shared" si="86"/>
        <v>0</v>
      </c>
      <c r="H432" s="231">
        <f t="shared" si="86"/>
        <v>0</v>
      </c>
      <c r="I432" s="231">
        <f t="shared" si="86"/>
        <v>0</v>
      </c>
      <c r="J432" s="231">
        <f t="shared" si="86"/>
        <v>0</v>
      </c>
    </row>
    <row r="433" spans="1:10" ht="15" thickBot="1" x14ac:dyDescent="0.25">
      <c r="A433" s="222"/>
      <c r="B433" s="222"/>
      <c r="C433" s="229" t="s">
        <v>389</v>
      </c>
      <c r="D433" s="240"/>
      <c r="E433" s="236">
        <f t="shared" ref="E433:J433" si="87">SUM(E428:E432)</f>
        <v>34819.5</v>
      </c>
      <c r="F433" s="236">
        <f t="shared" si="87"/>
        <v>22500</v>
      </c>
      <c r="G433" s="236">
        <f t="shared" si="87"/>
        <v>22500</v>
      </c>
      <c r="H433" s="236">
        <f t="shared" si="87"/>
        <v>18400</v>
      </c>
      <c r="I433" s="236">
        <f t="shared" si="87"/>
        <v>33600</v>
      </c>
      <c r="J433" s="236">
        <f t="shared" si="87"/>
        <v>18400</v>
      </c>
    </row>
    <row r="434" spans="1:10" x14ac:dyDescent="0.2">
      <c r="A434" s="240"/>
      <c r="B434" s="229"/>
      <c r="C434" s="222"/>
      <c r="D434" s="240"/>
      <c r="E434" s="242"/>
      <c r="F434" s="242"/>
      <c r="G434" s="242"/>
      <c r="H434" s="242"/>
      <c r="I434" s="242"/>
      <c r="J434" s="242"/>
    </row>
    <row r="435" spans="1:10" x14ac:dyDescent="0.2">
      <c r="A435" s="243" t="s">
        <v>296</v>
      </c>
      <c r="B435" s="229"/>
      <c r="C435" s="222"/>
      <c r="D435" s="240"/>
      <c r="E435" s="230"/>
      <c r="F435" s="230"/>
      <c r="G435" s="230"/>
      <c r="H435" s="230"/>
      <c r="I435" s="230"/>
      <c r="J435" s="230"/>
    </row>
    <row r="436" spans="1:10" ht="10.9" customHeight="1" x14ac:dyDescent="0.2">
      <c r="A436" s="222"/>
      <c r="B436" s="222" t="s">
        <v>129</v>
      </c>
      <c r="C436" s="222"/>
      <c r="D436" s="222"/>
      <c r="E436" s="231">
        <f t="shared" ref="E436:J436" si="88">E97</f>
        <v>3294514.06</v>
      </c>
      <c r="F436" s="231">
        <f t="shared" si="88"/>
        <v>2649800</v>
      </c>
      <c r="G436" s="231">
        <f t="shared" si="88"/>
        <v>3170900</v>
      </c>
      <c r="H436" s="231">
        <f t="shared" si="88"/>
        <v>3140800</v>
      </c>
      <c r="I436" s="231">
        <f t="shared" si="88"/>
        <v>3140800</v>
      </c>
      <c r="J436" s="231">
        <f t="shared" si="88"/>
        <v>3140800</v>
      </c>
    </row>
    <row r="437" spans="1:10" x14ac:dyDescent="0.2">
      <c r="A437" s="222"/>
      <c r="B437" s="222" t="s">
        <v>119</v>
      </c>
      <c r="C437" s="222"/>
      <c r="D437" s="222"/>
      <c r="E437" s="231">
        <f t="shared" ref="E437:J437" si="89">E174</f>
        <v>0</v>
      </c>
      <c r="F437" s="231">
        <f t="shared" si="89"/>
        <v>383400</v>
      </c>
      <c r="G437" s="231">
        <f t="shared" si="89"/>
        <v>402400</v>
      </c>
      <c r="H437" s="231">
        <f t="shared" si="89"/>
        <v>493400</v>
      </c>
      <c r="I437" s="231">
        <f t="shared" si="89"/>
        <v>433400</v>
      </c>
      <c r="J437" s="231">
        <f t="shared" si="89"/>
        <v>433400</v>
      </c>
    </row>
    <row r="438" spans="1:10" x14ac:dyDescent="0.2">
      <c r="A438" s="222"/>
      <c r="B438" s="222" t="s">
        <v>193</v>
      </c>
      <c r="C438" s="222"/>
      <c r="D438" s="222"/>
      <c r="E438" s="231">
        <f t="shared" ref="E438:J438" si="90">E240</f>
        <v>6997430</v>
      </c>
      <c r="F438" s="231">
        <f t="shared" si="90"/>
        <v>5383400</v>
      </c>
      <c r="G438" s="231">
        <f t="shared" si="90"/>
        <v>5394300</v>
      </c>
      <c r="H438" s="231">
        <f t="shared" si="90"/>
        <v>4135300</v>
      </c>
      <c r="I438" s="231">
        <f t="shared" si="90"/>
        <v>4135300</v>
      </c>
      <c r="J438" s="231">
        <f t="shared" si="90"/>
        <v>4135300</v>
      </c>
    </row>
    <row r="439" spans="1:10" x14ac:dyDescent="0.2">
      <c r="A439" s="222"/>
      <c r="B439" s="222" t="s">
        <v>956</v>
      </c>
      <c r="C439" s="222"/>
      <c r="D439" s="222"/>
      <c r="E439" s="231">
        <f t="shared" ref="E439:J439" si="91">E300</f>
        <v>0</v>
      </c>
      <c r="F439" s="231">
        <f t="shared" si="91"/>
        <v>39000</v>
      </c>
      <c r="G439" s="231">
        <f t="shared" si="91"/>
        <v>19500</v>
      </c>
      <c r="H439" s="231">
        <f t="shared" si="91"/>
        <v>29000</v>
      </c>
      <c r="I439" s="231">
        <f t="shared" si="91"/>
        <v>29000</v>
      </c>
      <c r="J439" s="231">
        <f t="shared" si="91"/>
        <v>29000</v>
      </c>
    </row>
    <row r="440" spans="1:10" x14ac:dyDescent="0.2">
      <c r="A440" s="222"/>
      <c r="B440" s="222" t="s">
        <v>123</v>
      </c>
      <c r="C440" s="222"/>
      <c r="D440" s="222"/>
      <c r="E440" s="231">
        <f t="shared" ref="E440:J440" si="92">E360</f>
        <v>0</v>
      </c>
      <c r="F440" s="231">
        <f t="shared" si="92"/>
        <v>1192000</v>
      </c>
      <c r="G440" s="231">
        <f t="shared" si="92"/>
        <v>1204000</v>
      </c>
      <c r="H440" s="231">
        <f t="shared" si="92"/>
        <v>1192000</v>
      </c>
      <c r="I440" s="231">
        <f t="shared" si="92"/>
        <v>1192000</v>
      </c>
      <c r="J440" s="231">
        <f t="shared" si="92"/>
        <v>1192000</v>
      </c>
    </row>
    <row r="441" spans="1:10" ht="15" thickBot="1" x14ac:dyDescent="0.25">
      <c r="A441" s="222"/>
      <c r="B441" s="222"/>
      <c r="C441" s="222" t="s">
        <v>390</v>
      </c>
      <c r="D441" s="235"/>
      <c r="E441" s="236">
        <f t="shared" ref="E441:J441" si="93">SUM(E436:E440)</f>
        <v>10291944.060000001</v>
      </c>
      <c r="F441" s="236">
        <f t="shared" si="93"/>
        <v>9647600</v>
      </c>
      <c r="G441" s="236">
        <f t="shared" si="93"/>
        <v>10191100</v>
      </c>
      <c r="H441" s="236">
        <f t="shared" si="93"/>
        <v>8990500</v>
      </c>
      <c r="I441" s="236">
        <f t="shared" si="93"/>
        <v>8930500</v>
      </c>
      <c r="J441" s="236">
        <f t="shared" si="93"/>
        <v>8930500</v>
      </c>
    </row>
    <row r="442" spans="1:10" x14ac:dyDescent="0.2">
      <c r="A442" s="222"/>
      <c r="B442" s="222"/>
      <c r="C442" s="222"/>
      <c r="D442" s="240"/>
      <c r="E442" s="242"/>
      <c r="F442" s="242"/>
      <c r="G442" s="242"/>
      <c r="H442" s="242"/>
      <c r="I442" s="242"/>
      <c r="J442" s="242"/>
    </row>
    <row r="443" spans="1:10" x14ac:dyDescent="0.2">
      <c r="A443" s="244" t="s">
        <v>15</v>
      </c>
      <c r="B443" s="222"/>
      <c r="C443" s="222"/>
      <c r="D443" s="222"/>
      <c r="E443" s="222"/>
      <c r="F443" s="222"/>
      <c r="G443" s="222"/>
      <c r="H443" s="222"/>
      <c r="I443" s="222"/>
      <c r="J443" s="222"/>
    </row>
    <row r="444" spans="1:10" x14ac:dyDescent="0.2">
      <c r="A444" s="222"/>
      <c r="B444" s="222" t="s">
        <v>129</v>
      </c>
      <c r="C444" s="222"/>
      <c r="D444" s="222"/>
      <c r="E444" s="231">
        <f t="shared" ref="E444:J444" si="94">E111</f>
        <v>1470600</v>
      </c>
      <c r="F444" s="231">
        <f t="shared" si="94"/>
        <v>7930000</v>
      </c>
      <c r="G444" s="231">
        <f t="shared" si="94"/>
        <v>9261239</v>
      </c>
      <c r="H444" s="231">
        <f t="shared" si="94"/>
        <v>4699400</v>
      </c>
      <c r="I444" s="231">
        <f t="shared" si="94"/>
        <v>0</v>
      </c>
      <c r="J444" s="231">
        <f t="shared" si="94"/>
        <v>0</v>
      </c>
    </row>
    <row r="445" spans="1:10" x14ac:dyDescent="0.2">
      <c r="A445" s="222"/>
      <c r="B445" s="222" t="s">
        <v>119</v>
      </c>
      <c r="C445" s="222"/>
      <c r="D445" s="222"/>
      <c r="E445" s="231">
        <f t="shared" ref="E445:J445" si="95">E181</f>
        <v>0</v>
      </c>
      <c r="F445" s="231">
        <f t="shared" si="95"/>
        <v>0</v>
      </c>
      <c r="G445" s="231">
        <f t="shared" si="95"/>
        <v>0</v>
      </c>
      <c r="H445" s="231">
        <f t="shared" si="95"/>
        <v>0</v>
      </c>
      <c r="I445" s="231">
        <f t="shared" si="95"/>
        <v>0</v>
      </c>
      <c r="J445" s="231">
        <f t="shared" si="95"/>
        <v>0</v>
      </c>
    </row>
    <row r="446" spans="1:10" x14ac:dyDescent="0.2">
      <c r="A446" s="222"/>
      <c r="B446" s="222" t="s">
        <v>193</v>
      </c>
      <c r="C446" s="222"/>
      <c r="D446" s="222"/>
      <c r="E446" s="231">
        <f t="shared" ref="E446:J446" si="96">E247</f>
        <v>0</v>
      </c>
      <c r="F446" s="231">
        <f t="shared" si="96"/>
        <v>0</v>
      </c>
      <c r="G446" s="231">
        <f t="shared" si="96"/>
        <v>0</v>
      </c>
      <c r="H446" s="231">
        <f t="shared" si="96"/>
        <v>0</v>
      </c>
      <c r="I446" s="231">
        <f t="shared" si="96"/>
        <v>0</v>
      </c>
      <c r="J446" s="231">
        <f t="shared" si="96"/>
        <v>0</v>
      </c>
    </row>
    <row r="447" spans="1:10" x14ac:dyDescent="0.2">
      <c r="A447" s="222"/>
      <c r="B447" s="222" t="s">
        <v>956</v>
      </c>
      <c r="C447" s="222"/>
      <c r="D447" s="222"/>
      <c r="E447" s="231">
        <f t="shared" ref="E447:J447" si="97">E308</f>
        <v>0</v>
      </c>
      <c r="F447" s="231">
        <f t="shared" si="97"/>
        <v>0</v>
      </c>
      <c r="G447" s="231">
        <f t="shared" si="97"/>
        <v>0</v>
      </c>
      <c r="H447" s="231">
        <f t="shared" si="97"/>
        <v>0</v>
      </c>
      <c r="I447" s="231">
        <f t="shared" si="97"/>
        <v>0</v>
      </c>
      <c r="J447" s="231">
        <f t="shared" si="97"/>
        <v>0</v>
      </c>
    </row>
    <row r="448" spans="1:10" x14ac:dyDescent="0.2">
      <c r="A448" s="222"/>
      <c r="B448" s="222" t="s">
        <v>123</v>
      </c>
      <c r="C448" s="222"/>
      <c r="D448" s="222"/>
      <c r="E448" s="231">
        <f t="shared" ref="E448:J448" si="98">E368</f>
        <v>0</v>
      </c>
      <c r="F448" s="231">
        <f t="shared" si="98"/>
        <v>0</v>
      </c>
      <c r="G448" s="231">
        <f t="shared" si="98"/>
        <v>0</v>
      </c>
      <c r="H448" s="231">
        <f t="shared" si="98"/>
        <v>0</v>
      </c>
      <c r="I448" s="231">
        <f t="shared" si="98"/>
        <v>0</v>
      </c>
      <c r="J448" s="231">
        <f t="shared" si="98"/>
        <v>0</v>
      </c>
    </row>
    <row r="449" spans="1:10" ht="15" thickBot="1" x14ac:dyDescent="0.25">
      <c r="A449" s="243"/>
      <c r="B449" s="243" t="s">
        <v>69</v>
      </c>
      <c r="C449" s="240"/>
      <c r="D449" s="222"/>
      <c r="E449" s="236">
        <f t="shared" ref="E449:J449" si="99">SUM(E444:E448)</f>
        <v>1470600</v>
      </c>
      <c r="F449" s="236">
        <f t="shared" si="99"/>
        <v>7930000</v>
      </c>
      <c r="G449" s="236">
        <f t="shared" si="99"/>
        <v>9261239</v>
      </c>
      <c r="H449" s="236">
        <f t="shared" si="99"/>
        <v>4699400</v>
      </c>
      <c r="I449" s="236">
        <f t="shared" si="99"/>
        <v>0</v>
      </c>
      <c r="J449" s="236">
        <f t="shared" si="99"/>
        <v>0</v>
      </c>
    </row>
    <row r="450" spans="1:10" x14ac:dyDescent="0.2">
      <c r="A450" s="222"/>
      <c r="B450" s="222"/>
      <c r="C450" s="222"/>
      <c r="D450" s="222"/>
      <c r="E450" s="242"/>
      <c r="F450" s="242"/>
      <c r="G450" s="242"/>
      <c r="H450" s="227"/>
      <c r="I450" s="227"/>
      <c r="J450" s="227"/>
    </row>
    <row r="451" spans="1:10" ht="15" thickBot="1" x14ac:dyDescent="0.25">
      <c r="A451" s="222"/>
      <c r="B451" s="222"/>
      <c r="C451" s="222"/>
      <c r="D451" s="222"/>
      <c r="E451" s="240"/>
      <c r="F451" s="276" t="s">
        <v>391</v>
      </c>
      <c r="G451" s="240"/>
      <c r="H451" s="240"/>
      <c r="I451" s="245"/>
      <c r="J451" s="245"/>
    </row>
    <row r="452" spans="1:10" ht="15" thickTop="1" x14ac:dyDescent="0.2">
      <c r="A452" s="246"/>
      <c r="B452" s="246"/>
      <c r="C452" s="246"/>
      <c r="D452" s="246"/>
      <c r="E452" s="246"/>
      <c r="F452" s="277"/>
      <c r="G452" s="246"/>
      <c r="H452" s="246"/>
      <c r="I452" s="246"/>
      <c r="J452" s="246"/>
    </row>
    <row r="453" spans="1:10" x14ac:dyDescent="0.2">
      <c r="A453" s="247"/>
      <c r="B453" s="247">
        <v>210</v>
      </c>
      <c r="C453" s="222" t="s">
        <v>7</v>
      </c>
      <c r="D453" s="222"/>
      <c r="E453" s="231">
        <f t="shared" ref="E453:J468" si="100">SUMIF($A$50:$A$1191,$B453,E$50:E$1191)</f>
        <v>512639.45</v>
      </c>
      <c r="F453" s="231">
        <f t="shared" si="100"/>
        <v>2294600</v>
      </c>
      <c r="G453" s="231">
        <f t="shared" si="100"/>
        <v>2108500</v>
      </c>
      <c r="H453" s="231">
        <f t="shared" si="100"/>
        <v>2235900</v>
      </c>
      <c r="I453" s="231">
        <f t="shared" si="100"/>
        <v>2328600</v>
      </c>
      <c r="J453" s="231">
        <f t="shared" si="100"/>
        <v>2346900</v>
      </c>
    </row>
    <row r="454" spans="1:10" x14ac:dyDescent="0.2">
      <c r="A454" s="247"/>
      <c r="B454" s="247">
        <v>212</v>
      </c>
      <c r="C454" s="222" t="s">
        <v>9</v>
      </c>
      <c r="D454" s="222"/>
      <c r="E454" s="231">
        <f t="shared" si="100"/>
        <v>0</v>
      </c>
      <c r="F454" s="231">
        <f t="shared" si="100"/>
        <v>29100</v>
      </c>
      <c r="G454" s="231">
        <f t="shared" si="100"/>
        <v>29100</v>
      </c>
      <c r="H454" s="231">
        <f t="shared" si="100"/>
        <v>55300</v>
      </c>
      <c r="I454" s="231">
        <f t="shared" si="100"/>
        <v>56500</v>
      </c>
      <c r="J454" s="231">
        <f t="shared" si="100"/>
        <v>57700</v>
      </c>
    </row>
    <row r="455" spans="1:10" x14ac:dyDescent="0.2">
      <c r="A455" s="247"/>
      <c r="B455" s="247">
        <v>213</v>
      </c>
      <c r="C455" s="222" t="s">
        <v>201</v>
      </c>
      <c r="D455" s="222"/>
      <c r="E455" s="231">
        <f t="shared" si="100"/>
        <v>0</v>
      </c>
      <c r="F455" s="231">
        <f t="shared" si="100"/>
        <v>0</v>
      </c>
      <c r="G455" s="231">
        <f t="shared" si="100"/>
        <v>0</v>
      </c>
      <c r="H455" s="231">
        <f t="shared" si="100"/>
        <v>0</v>
      </c>
      <c r="I455" s="231">
        <f t="shared" si="100"/>
        <v>0</v>
      </c>
      <c r="J455" s="231">
        <f t="shared" si="100"/>
        <v>0</v>
      </c>
    </row>
    <row r="456" spans="1:10" x14ac:dyDescent="0.2">
      <c r="A456" s="247"/>
      <c r="B456" s="247">
        <v>216</v>
      </c>
      <c r="C456" s="222" t="s">
        <v>10</v>
      </c>
      <c r="D456" s="222"/>
      <c r="E456" s="231">
        <f t="shared" si="100"/>
        <v>206112.77</v>
      </c>
      <c r="F456" s="231">
        <f t="shared" si="100"/>
        <v>471200</v>
      </c>
      <c r="G456" s="231">
        <f t="shared" si="100"/>
        <v>407500</v>
      </c>
      <c r="H456" s="231">
        <f t="shared" si="100"/>
        <v>457400</v>
      </c>
      <c r="I456" s="231">
        <f t="shared" si="100"/>
        <v>466500</v>
      </c>
      <c r="J456" s="231">
        <f t="shared" si="100"/>
        <v>466500</v>
      </c>
    </row>
    <row r="457" spans="1:10" x14ac:dyDescent="0.2">
      <c r="A457" s="247"/>
      <c r="B457" s="247">
        <v>218</v>
      </c>
      <c r="C457" s="222" t="s">
        <v>202</v>
      </c>
      <c r="D457" s="222"/>
      <c r="E457" s="231">
        <f t="shared" si="100"/>
        <v>34819.5</v>
      </c>
      <c r="F457" s="231">
        <f t="shared" si="100"/>
        <v>22500</v>
      </c>
      <c r="G457" s="231">
        <f t="shared" si="100"/>
        <v>22500</v>
      </c>
      <c r="H457" s="231">
        <f t="shared" si="100"/>
        <v>18400</v>
      </c>
      <c r="I457" s="231">
        <f t="shared" si="100"/>
        <v>33600</v>
      </c>
      <c r="J457" s="231">
        <f t="shared" si="100"/>
        <v>18400</v>
      </c>
    </row>
    <row r="458" spans="1:10" x14ac:dyDescent="0.2">
      <c r="A458" s="247"/>
      <c r="B458" s="247">
        <v>219</v>
      </c>
      <c r="C458" s="222" t="s">
        <v>203</v>
      </c>
      <c r="D458" s="222"/>
      <c r="E458" s="231">
        <f t="shared" si="100"/>
        <v>0</v>
      </c>
      <c r="F458" s="231">
        <f t="shared" si="100"/>
        <v>0</v>
      </c>
      <c r="G458" s="231">
        <f t="shared" si="100"/>
        <v>0</v>
      </c>
      <c r="H458" s="231">
        <f t="shared" si="100"/>
        <v>0</v>
      </c>
      <c r="I458" s="231">
        <f t="shared" si="100"/>
        <v>0</v>
      </c>
      <c r="J458" s="231">
        <f t="shared" si="100"/>
        <v>0</v>
      </c>
    </row>
    <row r="459" spans="1:10" x14ac:dyDescent="0.2">
      <c r="A459" s="247"/>
      <c r="B459" s="247">
        <v>220</v>
      </c>
      <c r="C459" s="222" t="s">
        <v>204</v>
      </c>
      <c r="D459" s="222"/>
      <c r="E459" s="231">
        <f t="shared" si="100"/>
        <v>0</v>
      </c>
      <c r="F459" s="231">
        <f t="shared" si="100"/>
        <v>1000</v>
      </c>
      <c r="G459" s="231">
        <f t="shared" si="100"/>
        <v>1000</v>
      </c>
      <c r="H459" s="231">
        <f t="shared" si="100"/>
        <v>2000</v>
      </c>
      <c r="I459" s="231">
        <f t="shared" si="100"/>
        <v>2000</v>
      </c>
      <c r="J459" s="231">
        <f t="shared" si="100"/>
        <v>2000</v>
      </c>
    </row>
    <row r="460" spans="1:10" x14ac:dyDescent="0.2">
      <c r="A460" s="247"/>
      <c r="B460" s="247">
        <v>222</v>
      </c>
      <c r="C460" s="222" t="s">
        <v>205</v>
      </c>
      <c r="D460" s="222"/>
      <c r="E460" s="231">
        <f t="shared" si="100"/>
        <v>61061.259999999995</v>
      </c>
      <c r="F460" s="231">
        <f t="shared" si="100"/>
        <v>92000</v>
      </c>
      <c r="G460" s="231">
        <f t="shared" si="100"/>
        <v>134500</v>
      </c>
      <c r="H460" s="231">
        <f t="shared" si="100"/>
        <v>88000</v>
      </c>
      <c r="I460" s="231">
        <f t="shared" si="100"/>
        <v>88000</v>
      </c>
      <c r="J460" s="231">
        <f t="shared" si="100"/>
        <v>88000</v>
      </c>
    </row>
    <row r="461" spans="1:10" x14ac:dyDescent="0.2">
      <c r="A461" s="247"/>
      <c r="B461" s="247">
        <v>224</v>
      </c>
      <c r="C461" s="222" t="s">
        <v>206</v>
      </c>
      <c r="D461" s="222"/>
      <c r="E461" s="231">
        <f t="shared" si="100"/>
        <v>0</v>
      </c>
      <c r="F461" s="231">
        <f t="shared" si="100"/>
        <v>90000</v>
      </c>
      <c r="G461" s="231">
        <f t="shared" si="100"/>
        <v>95500</v>
      </c>
      <c r="H461" s="231">
        <f t="shared" si="100"/>
        <v>72000</v>
      </c>
      <c r="I461" s="231">
        <f t="shared" si="100"/>
        <v>72000</v>
      </c>
      <c r="J461" s="231">
        <f t="shared" si="100"/>
        <v>72000</v>
      </c>
    </row>
    <row r="462" spans="1:10" x14ac:dyDescent="0.2">
      <c r="A462" s="247"/>
      <c r="B462" s="247">
        <v>226</v>
      </c>
      <c r="C462" s="222" t="s">
        <v>207</v>
      </c>
      <c r="D462" s="222"/>
      <c r="E462" s="231">
        <f t="shared" si="100"/>
        <v>12247.33</v>
      </c>
      <c r="F462" s="231">
        <f t="shared" si="100"/>
        <v>296000</v>
      </c>
      <c r="G462" s="231">
        <f t="shared" si="100"/>
        <v>300500</v>
      </c>
      <c r="H462" s="231">
        <f t="shared" si="100"/>
        <v>309000</v>
      </c>
      <c r="I462" s="231">
        <f t="shared" si="100"/>
        <v>309000</v>
      </c>
      <c r="J462" s="231">
        <f t="shared" si="100"/>
        <v>309000</v>
      </c>
    </row>
    <row r="463" spans="1:10" x14ac:dyDescent="0.2">
      <c r="A463" s="247"/>
      <c r="B463" s="247">
        <v>228</v>
      </c>
      <c r="C463" s="222" t="s">
        <v>208</v>
      </c>
      <c r="D463" s="222"/>
      <c r="E463" s="231">
        <f t="shared" si="100"/>
        <v>10846.009999999998</v>
      </c>
      <c r="F463" s="231">
        <f t="shared" si="100"/>
        <v>33000</v>
      </c>
      <c r="G463" s="231">
        <f t="shared" si="100"/>
        <v>36200</v>
      </c>
      <c r="H463" s="231">
        <f t="shared" si="100"/>
        <v>33000</v>
      </c>
      <c r="I463" s="231">
        <f t="shared" si="100"/>
        <v>33000</v>
      </c>
      <c r="J463" s="231">
        <f t="shared" si="100"/>
        <v>33000</v>
      </c>
    </row>
    <row r="464" spans="1:10" x14ac:dyDescent="0.2">
      <c r="A464" s="247"/>
      <c r="B464" s="247">
        <v>229</v>
      </c>
      <c r="C464" s="222" t="s">
        <v>209</v>
      </c>
      <c r="D464" s="222"/>
      <c r="E464" s="231">
        <f t="shared" si="100"/>
        <v>1225</v>
      </c>
      <c r="F464" s="231">
        <f t="shared" si="100"/>
        <v>259500</v>
      </c>
      <c r="G464" s="231">
        <f t="shared" si="100"/>
        <v>260400</v>
      </c>
      <c r="H464" s="231">
        <f t="shared" si="100"/>
        <v>343100</v>
      </c>
      <c r="I464" s="231">
        <f t="shared" si="100"/>
        <v>295200</v>
      </c>
      <c r="J464" s="231">
        <f t="shared" si="100"/>
        <v>295200</v>
      </c>
    </row>
    <row r="465" spans="1:10" x14ac:dyDescent="0.2">
      <c r="A465" s="247"/>
      <c r="B465" s="247">
        <v>230</v>
      </c>
      <c r="C465" s="222" t="s">
        <v>210</v>
      </c>
      <c r="D465" s="222"/>
      <c r="E465" s="231">
        <f t="shared" si="100"/>
        <v>0</v>
      </c>
      <c r="F465" s="231">
        <f t="shared" si="100"/>
        <v>2500</v>
      </c>
      <c r="G465" s="231">
        <f t="shared" si="100"/>
        <v>2500</v>
      </c>
      <c r="H465" s="231">
        <f t="shared" si="100"/>
        <v>2500</v>
      </c>
      <c r="I465" s="231">
        <f t="shared" si="100"/>
        <v>2500</v>
      </c>
      <c r="J465" s="231">
        <f t="shared" si="100"/>
        <v>2500</v>
      </c>
    </row>
    <row r="466" spans="1:10" x14ac:dyDescent="0.2">
      <c r="A466" s="247"/>
      <c r="B466" s="247">
        <v>232</v>
      </c>
      <c r="C466" s="222" t="s">
        <v>211</v>
      </c>
      <c r="D466" s="222"/>
      <c r="E466" s="231">
        <f t="shared" si="100"/>
        <v>9924.25</v>
      </c>
      <c r="F466" s="231">
        <f t="shared" si="100"/>
        <v>212000</v>
      </c>
      <c r="G466" s="231">
        <f t="shared" si="100"/>
        <v>237400</v>
      </c>
      <c r="H466" s="231">
        <f t="shared" si="100"/>
        <v>251400</v>
      </c>
      <c r="I466" s="231">
        <f t="shared" si="100"/>
        <v>239300</v>
      </c>
      <c r="J466" s="231">
        <f t="shared" si="100"/>
        <v>239300</v>
      </c>
    </row>
    <row r="467" spans="1:10" x14ac:dyDescent="0.2">
      <c r="A467" s="247"/>
      <c r="B467" s="247">
        <v>234</v>
      </c>
      <c r="C467" s="222" t="s">
        <v>212</v>
      </c>
      <c r="D467" s="222"/>
      <c r="E467" s="231">
        <f t="shared" si="100"/>
        <v>0</v>
      </c>
      <c r="F467" s="231">
        <f t="shared" si="100"/>
        <v>103200</v>
      </c>
      <c r="G467" s="231">
        <f t="shared" si="100"/>
        <v>111800</v>
      </c>
      <c r="H467" s="231">
        <f t="shared" si="100"/>
        <v>103200</v>
      </c>
      <c r="I467" s="231">
        <f t="shared" si="100"/>
        <v>103200</v>
      </c>
      <c r="J467" s="231">
        <f t="shared" si="100"/>
        <v>103200</v>
      </c>
    </row>
    <row r="468" spans="1:10" x14ac:dyDescent="0.2">
      <c r="A468" s="247"/>
      <c r="B468" s="247">
        <v>236</v>
      </c>
      <c r="C468" s="222" t="s">
        <v>213</v>
      </c>
      <c r="D468" s="222"/>
      <c r="E468" s="231">
        <f t="shared" si="100"/>
        <v>7700</v>
      </c>
      <c r="F468" s="231">
        <f t="shared" si="100"/>
        <v>924600</v>
      </c>
      <c r="G468" s="231">
        <f t="shared" si="100"/>
        <v>899300</v>
      </c>
      <c r="H468" s="231">
        <f t="shared" si="100"/>
        <v>882600</v>
      </c>
      <c r="I468" s="231">
        <f t="shared" si="100"/>
        <v>882600</v>
      </c>
      <c r="J468" s="231">
        <f t="shared" si="100"/>
        <v>882600</v>
      </c>
    </row>
    <row r="469" spans="1:10" x14ac:dyDescent="0.2">
      <c r="A469" s="247"/>
      <c r="B469" s="247">
        <v>238</v>
      </c>
      <c r="C469" s="222" t="s">
        <v>214</v>
      </c>
      <c r="D469" s="222"/>
      <c r="E469" s="231">
        <f t="shared" ref="E469:J484" si="101">SUMIF($A$50:$A$1191,$B469,E$50:E$1191)</f>
        <v>0</v>
      </c>
      <c r="F469" s="231">
        <f t="shared" si="101"/>
        <v>0</v>
      </c>
      <c r="G469" s="231">
        <f t="shared" si="101"/>
        <v>0</v>
      </c>
      <c r="H469" s="231">
        <f t="shared" si="101"/>
        <v>0</v>
      </c>
      <c r="I469" s="231">
        <f t="shared" si="101"/>
        <v>0</v>
      </c>
      <c r="J469" s="231">
        <f t="shared" si="101"/>
        <v>0</v>
      </c>
    </row>
    <row r="470" spans="1:10" x14ac:dyDescent="0.2">
      <c r="A470" s="247"/>
      <c r="B470" s="247">
        <v>240</v>
      </c>
      <c r="C470" s="222" t="s">
        <v>215</v>
      </c>
      <c r="D470" s="222"/>
      <c r="E470" s="231">
        <f t="shared" si="101"/>
        <v>23235.84</v>
      </c>
      <c r="F470" s="231">
        <f t="shared" si="101"/>
        <v>30000</v>
      </c>
      <c r="G470" s="231">
        <f t="shared" si="101"/>
        <v>38000</v>
      </c>
      <c r="H470" s="231">
        <f t="shared" si="101"/>
        <v>25000</v>
      </c>
      <c r="I470" s="231">
        <f t="shared" si="101"/>
        <v>25000</v>
      </c>
      <c r="J470" s="231">
        <f t="shared" si="101"/>
        <v>25000</v>
      </c>
    </row>
    <row r="471" spans="1:10" x14ac:dyDescent="0.2">
      <c r="A471" s="247"/>
      <c r="B471" s="247">
        <v>242</v>
      </c>
      <c r="C471" s="222" t="s">
        <v>216</v>
      </c>
      <c r="D471" s="222"/>
      <c r="E471" s="231">
        <f t="shared" si="101"/>
        <v>0</v>
      </c>
      <c r="F471" s="231">
        <f t="shared" si="101"/>
        <v>0</v>
      </c>
      <c r="G471" s="231">
        <f t="shared" si="101"/>
        <v>0</v>
      </c>
      <c r="H471" s="231">
        <f t="shared" si="101"/>
        <v>0</v>
      </c>
      <c r="I471" s="231">
        <f t="shared" si="101"/>
        <v>0</v>
      </c>
      <c r="J471" s="231">
        <f t="shared" si="101"/>
        <v>0</v>
      </c>
    </row>
    <row r="472" spans="1:10" x14ac:dyDescent="0.2">
      <c r="A472" s="247"/>
      <c r="B472" s="247">
        <v>244</v>
      </c>
      <c r="C472" s="222" t="s">
        <v>217</v>
      </c>
      <c r="D472" s="222"/>
      <c r="E472" s="231">
        <f t="shared" si="101"/>
        <v>1135</v>
      </c>
      <c r="F472" s="231">
        <f t="shared" si="101"/>
        <v>3400</v>
      </c>
      <c r="G472" s="231">
        <f t="shared" si="101"/>
        <v>3400</v>
      </c>
      <c r="H472" s="231">
        <f t="shared" si="101"/>
        <v>3400</v>
      </c>
      <c r="I472" s="231">
        <f t="shared" si="101"/>
        <v>3400</v>
      </c>
      <c r="J472" s="231">
        <f t="shared" si="101"/>
        <v>3400</v>
      </c>
    </row>
    <row r="473" spans="1:10" x14ac:dyDescent="0.2">
      <c r="A473" s="247"/>
      <c r="B473" s="247">
        <v>246</v>
      </c>
      <c r="C473" s="222" t="s">
        <v>218</v>
      </c>
      <c r="D473" s="222"/>
      <c r="E473" s="231">
        <f t="shared" si="101"/>
        <v>0</v>
      </c>
      <c r="F473" s="231">
        <f t="shared" si="101"/>
        <v>7800</v>
      </c>
      <c r="G473" s="231">
        <f t="shared" si="101"/>
        <v>5300</v>
      </c>
      <c r="H473" s="231">
        <f t="shared" si="101"/>
        <v>7800</v>
      </c>
      <c r="I473" s="231">
        <f t="shared" si="101"/>
        <v>7800</v>
      </c>
      <c r="J473" s="231">
        <f t="shared" si="101"/>
        <v>7800</v>
      </c>
    </row>
    <row r="474" spans="1:10" x14ac:dyDescent="0.2">
      <c r="A474" s="247"/>
      <c r="B474" s="247">
        <v>247</v>
      </c>
      <c r="C474" s="222" t="s">
        <v>219</v>
      </c>
      <c r="D474" s="222"/>
      <c r="E474" s="231">
        <f t="shared" si="101"/>
        <v>0</v>
      </c>
      <c r="F474" s="231">
        <f t="shared" si="101"/>
        <v>0</v>
      </c>
      <c r="G474" s="231">
        <f t="shared" si="101"/>
        <v>0</v>
      </c>
      <c r="H474" s="231">
        <f t="shared" si="101"/>
        <v>0</v>
      </c>
      <c r="I474" s="231">
        <f t="shared" si="101"/>
        <v>0</v>
      </c>
      <c r="J474" s="231">
        <f t="shared" si="101"/>
        <v>0</v>
      </c>
    </row>
    <row r="475" spans="1:10" x14ac:dyDescent="0.2">
      <c r="A475" s="247"/>
      <c r="B475" s="247">
        <v>260</v>
      </c>
      <c r="C475" s="222" t="s">
        <v>220</v>
      </c>
      <c r="D475" s="222"/>
      <c r="E475" s="231">
        <f t="shared" si="101"/>
        <v>6979375</v>
      </c>
      <c r="F475" s="231">
        <f t="shared" si="101"/>
        <v>5363800</v>
      </c>
      <c r="G475" s="231">
        <f t="shared" si="101"/>
        <v>5375600</v>
      </c>
      <c r="H475" s="231">
        <f t="shared" si="101"/>
        <v>4720700</v>
      </c>
      <c r="I475" s="231">
        <f t="shared" si="101"/>
        <v>4720700</v>
      </c>
      <c r="J475" s="231">
        <f t="shared" si="101"/>
        <v>4720700</v>
      </c>
    </row>
    <row r="476" spans="1:10" x14ac:dyDescent="0.2">
      <c r="A476" s="247"/>
      <c r="B476" s="247">
        <v>261</v>
      </c>
      <c r="C476" s="222" t="s">
        <v>221</v>
      </c>
      <c r="D476" s="222"/>
      <c r="E476" s="231">
        <f t="shared" si="101"/>
        <v>3164813.6</v>
      </c>
      <c r="F476" s="231">
        <f t="shared" si="101"/>
        <v>2112200</v>
      </c>
      <c r="G476" s="231">
        <f t="shared" si="101"/>
        <v>2577400</v>
      </c>
      <c r="H476" s="231">
        <f t="shared" si="101"/>
        <v>2032200</v>
      </c>
      <c r="I476" s="231">
        <f t="shared" si="101"/>
        <v>2032200</v>
      </c>
      <c r="J476" s="231">
        <f t="shared" si="101"/>
        <v>2032200</v>
      </c>
    </row>
    <row r="477" spans="1:10" x14ac:dyDescent="0.2">
      <c r="A477" s="247"/>
      <c r="B477" s="247">
        <v>265</v>
      </c>
      <c r="C477" s="222" t="s">
        <v>222</v>
      </c>
      <c r="D477" s="222"/>
      <c r="E477" s="231">
        <f t="shared" si="101"/>
        <v>0</v>
      </c>
      <c r="F477" s="231">
        <f t="shared" si="101"/>
        <v>0</v>
      </c>
      <c r="G477" s="231">
        <f t="shared" si="101"/>
        <v>0</v>
      </c>
      <c r="H477" s="231">
        <f t="shared" si="101"/>
        <v>0</v>
      </c>
      <c r="I477" s="231">
        <f t="shared" si="101"/>
        <v>0</v>
      </c>
      <c r="J477" s="231">
        <f t="shared" si="101"/>
        <v>0</v>
      </c>
    </row>
    <row r="478" spans="1:10" x14ac:dyDescent="0.2">
      <c r="A478" s="247"/>
      <c r="B478" s="247">
        <v>266</v>
      </c>
      <c r="C478" s="222" t="s">
        <v>223</v>
      </c>
      <c r="D478" s="222"/>
      <c r="E478" s="231">
        <f t="shared" si="101"/>
        <v>0</v>
      </c>
      <c r="F478" s="231">
        <f t="shared" si="101"/>
        <v>0</v>
      </c>
      <c r="G478" s="231">
        <f t="shared" si="101"/>
        <v>0</v>
      </c>
      <c r="H478" s="231">
        <f t="shared" si="101"/>
        <v>0</v>
      </c>
      <c r="I478" s="231">
        <f t="shared" si="101"/>
        <v>0</v>
      </c>
      <c r="J478" s="231">
        <f t="shared" si="101"/>
        <v>0</v>
      </c>
    </row>
    <row r="479" spans="1:10" x14ac:dyDescent="0.2">
      <c r="A479" s="247"/>
      <c r="B479" s="247">
        <v>270</v>
      </c>
      <c r="C479" s="222" t="s">
        <v>224</v>
      </c>
      <c r="D479" s="222"/>
      <c r="E479" s="231">
        <f t="shared" si="101"/>
        <v>0</v>
      </c>
      <c r="F479" s="231">
        <f t="shared" si="101"/>
        <v>0</v>
      </c>
      <c r="G479" s="231">
        <f t="shared" si="101"/>
        <v>0</v>
      </c>
      <c r="H479" s="231">
        <f t="shared" si="101"/>
        <v>0</v>
      </c>
      <c r="I479" s="231">
        <f t="shared" si="101"/>
        <v>0</v>
      </c>
      <c r="J479" s="231">
        <f t="shared" si="101"/>
        <v>0</v>
      </c>
    </row>
    <row r="480" spans="1:10" x14ac:dyDescent="0.2">
      <c r="A480" s="247"/>
      <c r="B480" s="247">
        <v>272</v>
      </c>
      <c r="C480" s="222" t="s">
        <v>225</v>
      </c>
      <c r="D480" s="222"/>
      <c r="E480" s="231">
        <f t="shared" si="101"/>
        <v>0</v>
      </c>
      <c r="F480" s="231">
        <f t="shared" si="101"/>
        <v>0</v>
      </c>
      <c r="G480" s="231">
        <f t="shared" si="101"/>
        <v>0</v>
      </c>
      <c r="H480" s="231">
        <f t="shared" si="101"/>
        <v>0</v>
      </c>
      <c r="I480" s="231">
        <f t="shared" si="101"/>
        <v>0</v>
      </c>
      <c r="J480" s="231">
        <f t="shared" si="101"/>
        <v>0</v>
      </c>
    </row>
    <row r="481" spans="1:10" x14ac:dyDescent="0.2">
      <c r="A481" s="247"/>
      <c r="B481" s="247">
        <v>273</v>
      </c>
      <c r="C481" s="222" t="s">
        <v>226</v>
      </c>
      <c r="D481" s="222"/>
      <c r="E481" s="231">
        <f t="shared" si="101"/>
        <v>0</v>
      </c>
      <c r="F481" s="231">
        <f t="shared" si="101"/>
        <v>0</v>
      </c>
      <c r="G481" s="231">
        <f t="shared" si="101"/>
        <v>0</v>
      </c>
      <c r="H481" s="231">
        <f t="shared" si="101"/>
        <v>0</v>
      </c>
      <c r="I481" s="231">
        <f t="shared" si="101"/>
        <v>0</v>
      </c>
      <c r="J481" s="231">
        <f t="shared" si="101"/>
        <v>0</v>
      </c>
    </row>
    <row r="482" spans="1:10" x14ac:dyDescent="0.2">
      <c r="A482" s="247"/>
      <c r="B482" s="247">
        <v>274</v>
      </c>
      <c r="C482" s="222" t="s">
        <v>227</v>
      </c>
      <c r="D482" s="222"/>
      <c r="E482" s="231">
        <f t="shared" si="101"/>
        <v>0</v>
      </c>
      <c r="F482" s="231">
        <f t="shared" si="101"/>
        <v>0</v>
      </c>
      <c r="G482" s="231">
        <f t="shared" si="101"/>
        <v>0</v>
      </c>
      <c r="H482" s="231">
        <f t="shared" si="101"/>
        <v>0</v>
      </c>
      <c r="I482" s="231">
        <f t="shared" si="101"/>
        <v>0</v>
      </c>
      <c r="J482" s="231">
        <f t="shared" si="101"/>
        <v>0</v>
      </c>
    </row>
    <row r="483" spans="1:10" x14ac:dyDescent="0.2">
      <c r="A483" s="247"/>
      <c r="B483" s="247">
        <v>275</v>
      </c>
      <c r="C483" s="222" t="s">
        <v>228</v>
      </c>
      <c r="D483" s="222"/>
      <c r="E483" s="231">
        <f t="shared" si="101"/>
        <v>1380.77</v>
      </c>
      <c r="F483" s="231">
        <f t="shared" si="101"/>
        <v>35700</v>
      </c>
      <c r="G483" s="231">
        <f t="shared" si="101"/>
        <v>31300</v>
      </c>
      <c r="H483" s="231">
        <f t="shared" si="101"/>
        <v>33700</v>
      </c>
      <c r="I483" s="231">
        <f t="shared" si="101"/>
        <v>33700</v>
      </c>
      <c r="J483" s="231">
        <f t="shared" si="101"/>
        <v>33700</v>
      </c>
    </row>
    <row r="484" spans="1:10" x14ac:dyDescent="0.2">
      <c r="A484" s="247"/>
      <c r="B484" s="247">
        <v>276</v>
      </c>
      <c r="C484" s="222" t="s">
        <v>229</v>
      </c>
      <c r="D484" s="222"/>
      <c r="E484" s="231">
        <f t="shared" si="101"/>
        <v>0</v>
      </c>
      <c r="F484" s="231">
        <f t="shared" si="101"/>
        <v>0</v>
      </c>
      <c r="G484" s="231">
        <f t="shared" si="101"/>
        <v>0</v>
      </c>
      <c r="H484" s="231">
        <f t="shared" si="101"/>
        <v>0</v>
      </c>
      <c r="I484" s="231">
        <f t="shared" si="101"/>
        <v>0</v>
      </c>
      <c r="J484" s="231">
        <f t="shared" si="101"/>
        <v>0</v>
      </c>
    </row>
    <row r="485" spans="1:10" x14ac:dyDescent="0.2">
      <c r="A485" s="247"/>
      <c r="B485" s="247">
        <v>277</v>
      </c>
      <c r="C485" s="222" t="s">
        <v>230</v>
      </c>
      <c r="D485" s="222"/>
      <c r="E485" s="231">
        <f t="shared" ref="E485:J495" si="102">SUMIF($A$50:$A$1191,$B485,E$50:E$1191)</f>
        <v>0</v>
      </c>
      <c r="F485" s="231">
        <f t="shared" si="102"/>
        <v>0</v>
      </c>
      <c r="G485" s="231">
        <f t="shared" si="102"/>
        <v>0</v>
      </c>
      <c r="H485" s="231">
        <f t="shared" si="102"/>
        <v>0</v>
      </c>
      <c r="I485" s="231">
        <f t="shared" si="102"/>
        <v>0</v>
      </c>
      <c r="J485" s="231">
        <f t="shared" si="102"/>
        <v>0</v>
      </c>
    </row>
    <row r="486" spans="1:10" x14ac:dyDescent="0.2">
      <c r="A486" s="247"/>
      <c r="B486" s="247">
        <v>278</v>
      </c>
      <c r="C486" s="222" t="s">
        <v>231</v>
      </c>
      <c r="D486" s="222"/>
      <c r="E486" s="231">
        <f t="shared" si="102"/>
        <v>0</v>
      </c>
      <c r="F486" s="231">
        <f t="shared" si="102"/>
        <v>0</v>
      </c>
      <c r="G486" s="231">
        <f t="shared" si="102"/>
        <v>0</v>
      </c>
      <c r="H486" s="231">
        <f t="shared" si="102"/>
        <v>0</v>
      </c>
      <c r="I486" s="231">
        <f t="shared" si="102"/>
        <v>0</v>
      </c>
      <c r="J486" s="231">
        <f t="shared" si="102"/>
        <v>0</v>
      </c>
    </row>
    <row r="487" spans="1:10" x14ac:dyDescent="0.2">
      <c r="A487" s="247"/>
      <c r="B487" s="247">
        <v>279</v>
      </c>
      <c r="C487" s="222" t="s">
        <v>232</v>
      </c>
      <c r="D487" s="222"/>
      <c r="E487" s="231">
        <f t="shared" si="102"/>
        <v>0</v>
      </c>
      <c r="F487" s="231">
        <f t="shared" si="102"/>
        <v>0</v>
      </c>
      <c r="G487" s="231">
        <f t="shared" si="102"/>
        <v>0</v>
      </c>
      <c r="H487" s="231">
        <f t="shared" si="102"/>
        <v>0</v>
      </c>
      <c r="I487" s="231">
        <f t="shared" si="102"/>
        <v>0</v>
      </c>
      <c r="J487" s="231">
        <f t="shared" si="102"/>
        <v>0</v>
      </c>
    </row>
    <row r="488" spans="1:10" x14ac:dyDescent="0.2">
      <c r="A488" s="247"/>
      <c r="B488" s="247">
        <v>280</v>
      </c>
      <c r="C488" s="222" t="s">
        <v>233</v>
      </c>
      <c r="D488" s="222"/>
      <c r="E488" s="231">
        <f t="shared" si="102"/>
        <v>0</v>
      </c>
      <c r="F488" s="231">
        <f t="shared" si="102"/>
        <v>51900</v>
      </c>
      <c r="G488" s="231">
        <f t="shared" si="102"/>
        <v>52000</v>
      </c>
      <c r="H488" s="231">
        <f t="shared" si="102"/>
        <v>51900</v>
      </c>
      <c r="I488" s="231">
        <f t="shared" si="102"/>
        <v>51900</v>
      </c>
      <c r="J488" s="231">
        <f t="shared" si="102"/>
        <v>51900</v>
      </c>
    </row>
    <row r="489" spans="1:10" x14ac:dyDescent="0.2">
      <c r="A489" s="247"/>
      <c r="B489" s="247">
        <v>281</v>
      </c>
      <c r="C489" s="222" t="s">
        <v>234</v>
      </c>
      <c r="D489" s="222"/>
      <c r="E489" s="231">
        <f t="shared" si="102"/>
        <v>19000</v>
      </c>
      <c r="F489" s="231">
        <f t="shared" si="102"/>
        <v>29000</v>
      </c>
      <c r="G489" s="231">
        <f t="shared" si="102"/>
        <v>29000</v>
      </c>
      <c r="H489" s="231">
        <f t="shared" si="102"/>
        <v>29000</v>
      </c>
      <c r="I489" s="231">
        <f t="shared" si="102"/>
        <v>29000</v>
      </c>
      <c r="J489" s="231">
        <f t="shared" si="102"/>
        <v>29000</v>
      </c>
    </row>
    <row r="490" spans="1:10" x14ac:dyDescent="0.2">
      <c r="A490" s="247"/>
      <c r="B490" s="247">
        <v>282</v>
      </c>
      <c r="C490" s="222" t="s">
        <v>235</v>
      </c>
      <c r="D490" s="222"/>
      <c r="E490" s="231">
        <f t="shared" si="102"/>
        <v>0</v>
      </c>
      <c r="F490" s="231">
        <f t="shared" si="102"/>
        <v>0</v>
      </c>
      <c r="G490" s="231">
        <f t="shared" si="102"/>
        <v>0</v>
      </c>
      <c r="H490" s="231">
        <f t="shared" si="102"/>
        <v>0</v>
      </c>
      <c r="I490" s="231">
        <f t="shared" si="102"/>
        <v>0</v>
      </c>
      <c r="J490" s="231">
        <f t="shared" si="102"/>
        <v>0</v>
      </c>
    </row>
    <row r="491" spans="1:10" x14ac:dyDescent="0.2">
      <c r="A491" s="247"/>
      <c r="B491" s="247">
        <v>283</v>
      </c>
      <c r="C491" s="222" t="s">
        <v>236</v>
      </c>
      <c r="D491" s="222"/>
      <c r="E491" s="231">
        <f t="shared" si="102"/>
        <v>0</v>
      </c>
      <c r="F491" s="231">
        <f t="shared" si="102"/>
        <v>0</v>
      </c>
      <c r="G491" s="231">
        <f t="shared" si="102"/>
        <v>0</v>
      </c>
      <c r="H491" s="231">
        <f t="shared" si="102"/>
        <v>0</v>
      </c>
      <c r="I491" s="231">
        <f t="shared" si="102"/>
        <v>0</v>
      </c>
      <c r="J491" s="231">
        <f t="shared" si="102"/>
        <v>0</v>
      </c>
    </row>
    <row r="492" spans="1:10" x14ac:dyDescent="0.2">
      <c r="A492" s="247"/>
      <c r="B492" s="247">
        <v>290</v>
      </c>
      <c r="C492" s="222" t="s">
        <v>238</v>
      </c>
      <c r="D492" s="222"/>
      <c r="E492" s="231">
        <f t="shared" si="102"/>
        <v>0</v>
      </c>
      <c r="F492" s="231">
        <f t="shared" si="102"/>
        <v>0</v>
      </c>
      <c r="G492" s="231">
        <f t="shared" si="102"/>
        <v>0</v>
      </c>
      <c r="H492" s="231">
        <f t="shared" si="102"/>
        <v>0</v>
      </c>
      <c r="I492" s="231">
        <f t="shared" si="102"/>
        <v>0</v>
      </c>
      <c r="J492" s="231">
        <f t="shared" si="102"/>
        <v>0</v>
      </c>
    </row>
    <row r="493" spans="1:10" x14ac:dyDescent="0.2">
      <c r="A493" s="247"/>
      <c r="B493" s="247">
        <v>292</v>
      </c>
      <c r="C493" s="222" t="s">
        <v>239</v>
      </c>
      <c r="D493" s="222"/>
      <c r="E493" s="231">
        <f t="shared" si="102"/>
        <v>0</v>
      </c>
      <c r="F493" s="231">
        <f t="shared" si="102"/>
        <v>0</v>
      </c>
      <c r="G493" s="231">
        <f t="shared" si="102"/>
        <v>0</v>
      </c>
      <c r="H493" s="231">
        <f t="shared" si="102"/>
        <v>0</v>
      </c>
      <c r="I493" s="231">
        <f t="shared" si="102"/>
        <v>0</v>
      </c>
      <c r="J493" s="231">
        <f t="shared" si="102"/>
        <v>0</v>
      </c>
    </row>
    <row r="494" spans="1:10" x14ac:dyDescent="0.2">
      <c r="A494" s="247"/>
      <c r="B494" s="247">
        <v>293</v>
      </c>
      <c r="C494" s="222" t="s">
        <v>240</v>
      </c>
      <c r="D494" s="222"/>
      <c r="E494" s="231">
        <f t="shared" ref="E494:J494" si="103">SUMIF($A$52:$A$1195,$B494,E$52:E$1195)</f>
        <v>0</v>
      </c>
      <c r="F494" s="231">
        <f t="shared" si="103"/>
        <v>0</v>
      </c>
      <c r="G494" s="231">
        <f t="shared" si="103"/>
        <v>0</v>
      </c>
      <c r="H494" s="231">
        <f t="shared" si="103"/>
        <v>0</v>
      </c>
      <c r="I494" s="231">
        <f t="shared" si="103"/>
        <v>0</v>
      </c>
      <c r="J494" s="231">
        <f t="shared" si="103"/>
        <v>0</v>
      </c>
    </row>
    <row r="495" spans="1:10" x14ac:dyDescent="0.2">
      <c r="A495" s="222"/>
      <c r="B495" s="247"/>
      <c r="C495" s="229" t="s">
        <v>957</v>
      </c>
      <c r="D495" s="240"/>
      <c r="E495" s="248">
        <f t="shared" ref="E495:J495" si="104">SUM(E453:E494)</f>
        <v>11045515.779999999</v>
      </c>
      <c r="F495" s="248">
        <f t="shared" si="104"/>
        <v>12465000</v>
      </c>
      <c r="G495" s="248">
        <f t="shared" si="104"/>
        <v>12758700</v>
      </c>
      <c r="H495" s="248">
        <f>SUM(H453:H494)</f>
        <v>11757500</v>
      </c>
      <c r="I495" s="248">
        <f t="shared" si="104"/>
        <v>11815700</v>
      </c>
      <c r="J495" s="248">
        <f t="shared" si="104"/>
        <v>11820000</v>
      </c>
    </row>
  </sheetData>
  <mergeCells count="421">
    <mergeCell ref="A401:J401"/>
    <mergeCell ref="A395:E395"/>
    <mergeCell ref="A396:E396"/>
    <mergeCell ref="A397:J397"/>
    <mergeCell ref="A398:E398"/>
    <mergeCell ref="A399:E399"/>
    <mergeCell ref="A400:E400"/>
    <mergeCell ref="A389:J389"/>
    <mergeCell ref="A390:J390"/>
    <mergeCell ref="A391:E391"/>
    <mergeCell ref="A392:J392"/>
    <mergeCell ref="A393:E393"/>
    <mergeCell ref="A394:E394"/>
    <mergeCell ref="A383:J383"/>
    <mergeCell ref="A384:J384"/>
    <mergeCell ref="A385:J385"/>
    <mergeCell ref="A386:J386"/>
    <mergeCell ref="A387:J387"/>
    <mergeCell ref="A388:J388"/>
    <mergeCell ref="A377:I377"/>
    <mergeCell ref="A378:J378"/>
    <mergeCell ref="A379:J379"/>
    <mergeCell ref="A380:J380"/>
    <mergeCell ref="A381:J381"/>
    <mergeCell ref="A382:J382"/>
    <mergeCell ref="A374:C374"/>
    <mergeCell ref="F374:H374"/>
    <mergeCell ref="A375:C375"/>
    <mergeCell ref="F375:H375"/>
    <mergeCell ref="A376:C376"/>
    <mergeCell ref="F376:H376"/>
    <mergeCell ref="A371:C371"/>
    <mergeCell ref="F371:H371"/>
    <mergeCell ref="A372:C372"/>
    <mergeCell ref="F372:H372"/>
    <mergeCell ref="A373:C373"/>
    <mergeCell ref="F373:H373"/>
    <mergeCell ref="C365:D365"/>
    <mergeCell ref="C366:D366"/>
    <mergeCell ref="C367:D367"/>
    <mergeCell ref="A368:D368"/>
    <mergeCell ref="A369:J369"/>
    <mergeCell ref="A370:J370"/>
    <mergeCell ref="A361:D361"/>
    <mergeCell ref="A362:I362"/>
    <mergeCell ref="A363:J363"/>
    <mergeCell ref="A364:D364"/>
    <mergeCell ref="E364:E365"/>
    <mergeCell ref="F364:F365"/>
    <mergeCell ref="G364:G365"/>
    <mergeCell ref="H364:H365"/>
    <mergeCell ref="I364:I365"/>
    <mergeCell ref="J364:J365"/>
    <mergeCell ref="B355:D355"/>
    <mergeCell ref="B356:D356"/>
    <mergeCell ref="B357:D357"/>
    <mergeCell ref="B358:D358"/>
    <mergeCell ref="B359:D359"/>
    <mergeCell ref="A360:D360"/>
    <mergeCell ref="B349:D349"/>
    <mergeCell ref="B350:D350"/>
    <mergeCell ref="B351:D351"/>
    <mergeCell ref="B352:D352"/>
    <mergeCell ref="A353:D353"/>
    <mergeCell ref="A354:I354"/>
    <mergeCell ref="B343:D343"/>
    <mergeCell ref="A344:D344"/>
    <mergeCell ref="A345:J345"/>
    <mergeCell ref="A346:J346"/>
    <mergeCell ref="B347:D347"/>
    <mergeCell ref="A348:I348"/>
    <mergeCell ref="A338:J338"/>
    <mergeCell ref="A339:C339"/>
    <mergeCell ref="D339:J339"/>
    <mergeCell ref="A340:J340"/>
    <mergeCell ref="A341:J341"/>
    <mergeCell ref="B342:D342"/>
    <mergeCell ref="A332:E332"/>
    <mergeCell ref="A333:J333"/>
    <mergeCell ref="A334:E334"/>
    <mergeCell ref="A335:E335"/>
    <mergeCell ref="A336:E336"/>
    <mergeCell ref="A337:J337"/>
    <mergeCell ref="A326:E326"/>
    <mergeCell ref="A327:J327"/>
    <mergeCell ref="A328:E328"/>
    <mergeCell ref="A329:E329"/>
    <mergeCell ref="A330:E330"/>
    <mergeCell ref="A331:E331"/>
    <mergeCell ref="A320:J320"/>
    <mergeCell ref="A321:J321"/>
    <mergeCell ref="A322:J322"/>
    <mergeCell ref="A323:J323"/>
    <mergeCell ref="A324:J324"/>
    <mergeCell ref="A325:J325"/>
    <mergeCell ref="A314:I314"/>
    <mergeCell ref="A315:J315"/>
    <mergeCell ref="A316:J316"/>
    <mergeCell ref="A317:J317"/>
    <mergeCell ref="A318:J318"/>
    <mergeCell ref="A319:J319"/>
    <mergeCell ref="A310:J310"/>
    <mergeCell ref="A311:C311"/>
    <mergeCell ref="F311:H311"/>
    <mergeCell ref="A312:C312"/>
    <mergeCell ref="F312:H312"/>
    <mergeCell ref="A313:C313"/>
    <mergeCell ref="F313:H313"/>
    <mergeCell ref="J304:J305"/>
    <mergeCell ref="C305:D305"/>
    <mergeCell ref="C306:D306"/>
    <mergeCell ref="C307:D307"/>
    <mergeCell ref="A308:D308"/>
    <mergeCell ref="A309:J309"/>
    <mergeCell ref="A304:D304"/>
    <mergeCell ref="E304:E305"/>
    <mergeCell ref="F304:F305"/>
    <mergeCell ref="G304:G305"/>
    <mergeCell ref="H304:H305"/>
    <mergeCell ref="I304:I305"/>
    <mergeCell ref="B298:D298"/>
    <mergeCell ref="B299:D299"/>
    <mergeCell ref="A300:D300"/>
    <mergeCell ref="A301:D301"/>
    <mergeCell ref="A302:I302"/>
    <mergeCell ref="A303:J303"/>
    <mergeCell ref="B292:D292"/>
    <mergeCell ref="B293:D293"/>
    <mergeCell ref="A294:D294"/>
    <mergeCell ref="A295:I295"/>
    <mergeCell ref="B296:D296"/>
    <mergeCell ref="B297:D297"/>
    <mergeCell ref="A286:J286"/>
    <mergeCell ref="A287:J287"/>
    <mergeCell ref="B288:D288"/>
    <mergeCell ref="A289:I289"/>
    <mergeCell ref="B290:D290"/>
    <mergeCell ref="B291:D291"/>
    <mergeCell ref="A280:J280"/>
    <mergeCell ref="A281:J281"/>
    <mergeCell ref="A282:J282"/>
    <mergeCell ref="B283:D283"/>
    <mergeCell ref="B284:D284"/>
    <mergeCell ref="A285:D285"/>
    <mergeCell ref="A273:E273"/>
    <mergeCell ref="A274:E274"/>
    <mergeCell ref="A275:J275"/>
    <mergeCell ref="A276:E276"/>
    <mergeCell ref="A277:E277"/>
    <mergeCell ref="A279:J279"/>
    <mergeCell ref="A267:J267"/>
    <mergeCell ref="A268:E268"/>
    <mergeCell ref="A269:E269"/>
    <mergeCell ref="A270:E270"/>
    <mergeCell ref="A271:E271"/>
    <mergeCell ref="A272:E272"/>
    <mergeCell ref="A261:J261"/>
    <mergeCell ref="A262:J262"/>
    <mergeCell ref="A263:J263"/>
    <mergeCell ref="A264:J264"/>
    <mergeCell ref="A265:J265"/>
    <mergeCell ref="A266:E266"/>
    <mergeCell ref="A255:J255"/>
    <mergeCell ref="A256:J256"/>
    <mergeCell ref="A257:J257"/>
    <mergeCell ref="A258:J258"/>
    <mergeCell ref="A259:J259"/>
    <mergeCell ref="A260:J260"/>
    <mergeCell ref="A249:C249"/>
    <mergeCell ref="A250:C250"/>
    <mergeCell ref="A251:C251"/>
    <mergeCell ref="A252:D252"/>
    <mergeCell ref="A253:J253"/>
    <mergeCell ref="A254:J254"/>
    <mergeCell ref="I244:I245"/>
    <mergeCell ref="J244:J245"/>
    <mergeCell ref="C245:D245"/>
    <mergeCell ref="C246:D246"/>
    <mergeCell ref="A247:D247"/>
    <mergeCell ref="A248:J248"/>
    <mergeCell ref="B239:D239"/>
    <mergeCell ref="A240:D240"/>
    <mergeCell ref="A241:D241"/>
    <mergeCell ref="A242:I242"/>
    <mergeCell ref="A243:J243"/>
    <mergeCell ref="A244:D244"/>
    <mergeCell ref="E244:E245"/>
    <mergeCell ref="F244:F245"/>
    <mergeCell ref="G244:G245"/>
    <mergeCell ref="H244:H245"/>
    <mergeCell ref="B233:D233"/>
    <mergeCell ref="A234:D234"/>
    <mergeCell ref="A235:I235"/>
    <mergeCell ref="B236:D236"/>
    <mergeCell ref="B237:D237"/>
    <mergeCell ref="B238:D238"/>
    <mergeCell ref="A227:J227"/>
    <mergeCell ref="B228:D228"/>
    <mergeCell ref="A229:I229"/>
    <mergeCell ref="B230:D230"/>
    <mergeCell ref="B231:D231"/>
    <mergeCell ref="B232:D232"/>
    <mergeCell ref="A221:J221"/>
    <mergeCell ref="A222:J222"/>
    <mergeCell ref="B223:D223"/>
    <mergeCell ref="B224:D224"/>
    <mergeCell ref="A225:D225"/>
    <mergeCell ref="A226:J226"/>
    <mergeCell ref="A214:E214"/>
    <mergeCell ref="A215:E215"/>
    <mergeCell ref="A216:E216"/>
    <mergeCell ref="A217:J217"/>
    <mergeCell ref="A219:J219"/>
    <mergeCell ref="A220:C220"/>
    <mergeCell ref="D220:J220"/>
    <mergeCell ref="A208:E208"/>
    <mergeCell ref="A209:E209"/>
    <mergeCell ref="A210:E210"/>
    <mergeCell ref="A211:E211"/>
    <mergeCell ref="A212:E212"/>
    <mergeCell ref="A213:J213"/>
    <mergeCell ref="A202:J202"/>
    <mergeCell ref="A203:J203"/>
    <mergeCell ref="A204:E204"/>
    <mergeCell ref="A205:J205"/>
    <mergeCell ref="A206:E206"/>
    <mergeCell ref="A207:E207"/>
    <mergeCell ref="A196:J196"/>
    <mergeCell ref="A197:J197"/>
    <mergeCell ref="A198:J198"/>
    <mergeCell ref="A199:J199"/>
    <mergeCell ref="A200:J200"/>
    <mergeCell ref="A201:J201"/>
    <mergeCell ref="A191:C191"/>
    <mergeCell ref="F191:H191"/>
    <mergeCell ref="A192:I192"/>
    <mergeCell ref="A193:J193"/>
    <mergeCell ref="A194:J194"/>
    <mergeCell ref="A195:J195"/>
    <mergeCell ref="A188:C188"/>
    <mergeCell ref="F188:H188"/>
    <mergeCell ref="A189:C189"/>
    <mergeCell ref="F189:H189"/>
    <mergeCell ref="A190:C190"/>
    <mergeCell ref="F190:H190"/>
    <mergeCell ref="A185:C185"/>
    <mergeCell ref="F185:H185"/>
    <mergeCell ref="A186:C186"/>
    <mergeCell ref="F186:H186"/>
    <mergeCell ref="A187:C187"/>
    <mergeCell ref="F187:H187"/>
    <mergeCell ref="C180:D180"/>
    <mergeCell ref="A181:D181"/>
    <mergeCell ref="A182:J182"/>
    <mergeCell ref="A183:J183"/>
    <mergeCell ref="A184:C184"/>
    <mergeCell ref="F184:H184"/>
    <mergeCell ref="A176:I176"/>
    <mergeCell ref="A177:J177"/>
    <mergeCell ref="A178:D178"/>
    <mergeCell ref="E178:E179"/>
    <mergeCell ref="F178:F179"/>
    <mergeCell ref="G178:G179"/>
    <mergeCell ref="H178:H179"/>
    <mergeCell ref="I178:I179"/>
    <mergeCell ref="J178:J179"/>
    <mergeCell ref="C179:D179"/>
    <mergeCell ref="B170:D170"/>
    <mergeCell ref="B171:D171"/>
    <mergeCell ref="B172:D172"/>
    <mergeCell ref="B173:D173"/>
    <mergeCell ref="A174:D174"/>
    <mergeCell ref="A175:D175"/>
    <mergeCell ref="B164:D164"/>
    <mergeCell ref="B165:D165"/>
    <mergeCell ref="B166:D166"/>
    <mergeCell ref="B167:D167"/>
    <mergeCell ref="B168:D168"/>
    <mergeCell ref="B169:D169"/>
    <mergeCell ref="B158:D158"/>
    <mergeCell ref="B159:D159"/>
    <mergeCell ref="A160:D160"/>
    <mergeCell ref="A161:I161"/>
    <mergeCell ref="B162:D162"/>
    <mergeCell ref="B163:D163"/>
    <mergeCell ref="A152:J152"/>
    <mergeCell ref="A153:J153"/>
    <mergeCell ref="B154:D154"/>
    <mergeCell ref="A155:I155"/>
    <mergeCell ref="B156:D156"/>
    <mergeCell ref="B157:D157"/>
    <mergeCell ref="A146:J146"/>
    <mergeCell ref="A147:J147"/>
    <mergeCell ref="B148:D148"/>
    <mergeCell ref="B149:D149"/>
    <mergeCell ref="B150:D150"/>
    <mergeCell ref="A151:D151"/>
    <mergeCell ref="A141:E141"/>
    <mergeCell ref="A142:J142"/>
    <mergeCell ref="A143:E143"/>
    <mergeCell ref="A144:J144"/>
    <mergeCell ref="A145:C145"/>
    <mergeCell ref="D145:J145"/>
    <mergeCell ref="A135:J135"/>
    <mergeCell ref="A136:E136"/>
    <mergeCell ref="A137:E137"/>
    <mergeCell ref="A138:E138"/>
    <mergeCell ref="A139:E139"/>
    <mergeCell ref="A140:E140"/>
    <mergeCell ref="A129:J129"/>
    <mergeCell ref="A130:J130"/>
    <mergeCell ref="A131:J131"/>
    <mergeCell ref="A132:J132"/>
    <mergeCell ref="A133:J133"/>
    <mergeCell ref="A134:E134"/>
    <mergeCell ref="A123:J123"/>
    <mergeCell ref="A124:J124"/>
    <mergeCell ref="A125:J125"/>
    <mergeCell ref="A126:J126"/>
    <mergeCell ref="A127:J127"/>
    <mergeCell ref="A128:J128"/>
    <mergeCell ref="A119:C119"/>
    <mergeCell ref="F119:H119"/>
    <mergeCell ref="A120:C120"/>
    <mergeCell ref="F120:H120"/>
    <mergeCell ref="A121:I121"/>
    <mergeCell ref="A122:J122"/>
    <mergeCell ref="A116:C116"/>
    <mergeCell ref="F116:H116"/>
    <mergeCell ref="A117:C117"/>
    <mergeCell ref="F117:H117"/>
    <mergeCell ref="A118:C118"/>
    <mergeCell ref="F118:H118"/>
    <mergeCell ref="A111:D111"/>
    <mergeCell ref="A112:I112"/>
    <mergeCell ref="A113:J113"/>
    <mergeCell ref="A114:J114"/>
    <mergeCell ref="A115:C115"/>
    <mergeCell ref="F115:H115"/>
    <mergeCell ref="A100:J100"/>
    <mergeCell ref="A101:D101"/>
    <mergeCell ref="E101:E102"/>
    <mergeCell ref="F101:F102"/>
    <mergeCell ref="G101:G102"/>
    <mergeCell ref="H101:H102"/>
    <mergeCell ref="I101:I102"/>
    <mergeCell ref="J101:J102"/>
    <mergeCell ref="C102:D102"/>
    <mergeCell ref="B80:D80"/>
    <mergeCell ref="A81:D81"/>
    <mergeCell ref="A82:I82"/>
    <mergeCell ref="A97:D97"/>
    <mergeCell ref="A98:D98"/>
    <mergeCell ref="A99:I99"/>
    <mergeCell ref="A74:J74"/>
    <mergeCell ref="B75:D75"/>
    <mergeCell ref="A76:I76"/>
    <mergeCell ref="B77:D77"/>
    <mergeCell ref="B78:D78"/>
    <mergeCell ref="B79:D79"/>
    <mergeCell ref="A68:J68"/>
    <mergeCell ref="A69:J69"/>
    <mergeCell ref="B70:D70"/>
    <mergeCell ref="B71:D71"/>
    <mergeCell ref="A72:D72"/>
    <mergeCell ref="A73:J73"/>
    <mergeCell ref="A62:J62"/>
    <mergeCell ref="A63:J63"/>
    <mergeCell ref="A64:D64"/>
    <mergeCell ref="A65:J65"/>
    <mergeCell ref="A66:J66"/>
    <mergeCell ref="A67:C67"/>
    <mergeCell ref="D67:J67"/>
    <mergeCell ref="A48:J48"/>
    <mergeCell ref="A49:J49"/>
    <mergeCell ref="C50:D50"/>
    <mergeCell ref="A59:D59"/>
    <mergeCell ref="A60:J60"/>
    <mergeCell ref="A61:D61"/>
    <mergeCell ref="B42:D42"/>
    <mergeCell ref="B43:D43"/>
    <mergeCell ref="B44:D44"/>
    <mergeCell ref="B45:D45"/>
    <mergeCell ref="B46:D46"/>
    <mergeCell ref="A47:D47"/>
    <mergeCell ref="B36:D36"/>
    <mergeCell ref="B37:D37"/>
    <mergeCell ref="A38:D38"/>
    <mergeCell ref="A39:D39"/>
    <mergeCell ref="A40:J40"/>
    <mergeCell ref="A41:J41"/>
    <mergeCell ref="A30:D30"/>
    <mergeCell ref="A31:J31"/>
    <mergeCell ref="A32:J32"/>
    <mergeCell ref="B33:D33"/>
    <mergeCell ref="B34:D34"/>
    <mergeCell ref="B35:D35"/>
    <mergeCell ref="A24:J24"/>
    <mergeCell ref="B25:D25"/>
    <mergeCell ref="B26:D26"/>
    <mergeCell ref="B27:D27"/>
    <mergeCell ref="B28:D28"/>
    <mergeCell ref="B29:D29"/>
    <mergeCell ref="A18:J18"/>
    <mergeCell ref="A19:J19"/>
    <mergeCell ref="A20:J20"/>
    <mergeCell ref="A21:J21"/>
    <mergeCell ref="A22:J22"/>
    <mergeCell ref="B23:D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scale="99" fitToHeight="0" orientation="portrait" r:id="rId1"/>
  <rowBreaks count="13" manualBreakCount="13">
    <brk id="47" max="9" man="1"/>
    <brk id="65" max="9" man="1"/>
    <brk id="99" max="9" man="1"/>
    <brk id="143" max="9" man="1"/>
    <brk id="182" max="9" man="1"/>
    <brk id="218" max="9" man="1"/>
    <brk id="253" max="9" man="1"/>
    <brk id="278" max="9" man="1"/>
    <brk id="309" max="9" man="1"/>
    <brk id="337" max="9" man="1"/>
    <brk id="369" max="9" man="1"/>
    <brk id="401" max="9" man="1"/>
    <brk id="44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00"/>
  <sheetViews>
    <sheetView zoomScaleNormal="100" zoomScaleSheetLayoutView="100" workbookViewId="0">
      <selection activeCell="B1" sqref="B1"/>
    </sheetView>
  </sheetViews>
  <sheetFormatPr defaultColWidth="9.140625" defaultRowHeight="14.25" x14ac:dyDescent="0.2"/>
  <cols>
    <col min="1" max="1" width="6.4257812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ht="15" customHeight="1" x14ac:dyDescent="0.2">
      <c r="A1" s="98" t="s">
        <v>254</v>
      </c>
      <c r="B1" s="98"/>
      <c r="C1" s="99"/>
      <c r="D1" s="99"/>
      <c r="E1" s="99"/>
      <c r="F1" s="99"/>
      <c r="G1" s="99"/>
      <c r="H1" s="99"/>
      <c r="I1" s="99"/>
      <c r="J1" s="99"/>
    </row>
    <row r="2" spans="1:10" ht="15" customHeight="1" x14ac:dyDescent="0.2">
      <c r="A2" s="98" t="s">
        <v>958</v>
      </c>
      <c r="B2" s="98"/>
      <c r="C2" s="101"/>
      <c r="D2" s="101"/>
      <c r="E2" s="101"/>
      <c r="F2" s="101"/>
      <c r="G2" s="101"/>
      <c r="H2" s="101"/>
      <c r="I2" s="101"/>
      <c r="J2" s="101"/>
    </row>
    <row r="3" spans="1:10" ht="15" thickBot="1" x14ac:dyDescent="0.25">
      <c r="A3" s="250"/>
      <c r="B3" s="251"/>
      <c r="C3" s="251"/>
      <c r="D3" s="251"/>
      <c r="E3" s="251"/>
      <c r="F3" s="251"/>
      <c r="G3" s="251"/>
      <c r="H3" s="251"/>
      <c r="I3" s="251"/>
      <c r="J3" s="252"/>
    </row>
    <row r="4" spans="1:10" x14ac:dyDescent="0.2">
      <c r="A4" s="253" t="s">
        <v>256</v>
      </c>
      <c r="B4" s="254" t="s">
        <v>257</v>
      </c>
      <c r="C4" s="254"/>
      <c r="D4" s="254"/>
      <c r="E4" s="254"/>
      <c r="F4" s="254"/>
      <c r="G4" s="255"/>
      <c r="H4" s="255"/>
      <c r="I4" s="255"/>
      <c r="J4" s="256"/>
    </row>
    <row r="5" spans="1:10" x14ac:dyDescent="0.2">
      <c r="A5" s="105"/>
      <c r="B5" s="106" t="s">
        <v>959</v>
      </c>
      <c r="C5" s="106"/>
      <c r="D5" s="106"/>
      <c r="E5" s="106"/>
      <c r="F5" s="106"/>
      <c r="G5" s="107"/>
      <c r="H5" s="107"/>
      <c r="I5" s="107"/>
      <c r="J5" s="108"/>
    </row>
    <row r="6" spans="1:10" x14ac:dyDescent="0.2">
      <c r="A6" s="109"/>
      <c r="B6" s="106" t="s">
        <v>960</v>
      </c>
      <c r="C6" s="110"/>
      <c r="D6" s="110"/>
      <c r="E6" s="106"/>
      <c r="F6" s="106"/>
      <c r="G6" s="111"/>
      <c r="H6" s="111"/>
      <c r="I6" s="111"/>
      <c r="J6" s="112">
        <f>H64</f>
        <v>0</v>
      </c>
    </row>
    <row r="7" spans="1:10" x14ac:dyDescent="0.2">
      <c r="A7" s="115" t="s">
        <v>260</v>
      </c>
      <c r="B7" s="116" t="s">
        <v>261</v>
      </c>
      <c r="C7" s="116"/>
      <c r="D7" s="116" t="s">
        <v>961</v>
      </c>
      <c r="E7" s="116"/>
      <c r="F7" s="116"/>
      <c r="G7" s="117"/>
      <c r="H7" s="117"/>
      <c r="I7" s="117"/>
      <c r="J7" s="118"/>
    </row>
    <row r="8" spans="1:10" ht="15" thickBot="1" x14ac:dyDescent="0.25">
      <c r="A8" s="119" t="s">
        <v>263</v>
      </c>
      <c r="B8" s="120" t="s">
        <v>962</v>
      </c>
      <c r="C8" s="120"/>
      <c r="D8" s="121"/>
      <c r="E8" s="121"/>
      <c r="F8" s="121"/>
      <c r="G8" s="123"/>
      <c r="H8" s="123"/>
      <c r="I8" s="123"/>
      <c r="J8" s="124"/>
    </row>
    <row r="9" spans="1:10" ht="15" x14ac:dyDescent="0.2">
      <c r="A9" s="280"/>
      <c r="B9" s="280"/>
      <c r="C9" s="280"/>
      <c r="D9" s="280"/>
      <c r="E9" s="280"/>
      <c r="F9" s="280"/>
      <c r="G9" s="280"/>
      <c r="H9" s="280"/>
      <c r="I9" s="280"/>
      <c r="J9" s="280"/>
    </row>
    <row r="10" spans="1:10" ht="15" customHeight="1" x14ac:dyDescent="0.2">
      <c r="A10" s="128" t="s">
        <v>265</v>
      </c>
      <c r="B10" s="128"/>
      <c r="C10" s="128"/>
      <c r="D10" s="128"/>
      <c r="E10" s="128"/>
      <c r="F10" s="128"/>
      <c r="G10" s="128"/>
      <c r="H10" s="128"/>
      <c r="I10" s="128"/>
      <c r="J10" s="128"/>
    </row>
    <row r="11" spans="1:10" x14ac:dyDescent="0.2">
      <c r="A11" s="282" t="s">
        <v>963</v>
      </c>
      <c r="B11" s="282"/>
      <c r="C11" s="282"/>
      <c r="D11" s="282"/>
      <c r="E11" s="282"/>
      <c r="F11" s="282"/>
      <c r="G11" s="282"/>
      <c r="H11" s="282"/>
      <c r="I11" s="282"/>
      <c r="J11" s="282"/>
    </row>
    <row r="12" spans="1:10" x14ac:dyDescent="0.2">
      <c r="A12" s="282" t="s">
        <v>964</v>
      </c>
      <c r="B12" s="282"/>
      <c r="C12" s="282"/>
      <c r="D12" s="282"/>
      <c r="E12" s="282"/>
      <c r="F12" s="282"/>
      <c r="G12" s="282"/>
      <c r="H12" s="282"/>
      <c r="I12" s="282"/>
      <c r="J12" s="282"/>
    </row>
    <row r="13" spans="1:10" x14ac:dyDescent="0.2">
      <c r="A13" s="282" t="s">
        <v>965</v>
      </c>
      <c r="B13" s="282"/>
      <c r="C13" s="282"/>
      <c r="D13" s="282"/>
      <c r="E13" s="282"/>
      <c r="F13" s="282"/>
      <c r="G13" s="282"/>
      <c r="H13" s="282"/>
      <c r="I13" s="282"/>
      <c r="J13" s="282"/>
    </row>
    <row r="14" spans="1:10" x14ac:dyDescent="0.2">
      <c r="A14" s="282" t="s">
        <v>966</v>
      </c>
      <c r="B14" s="282"/>
      <c r="C14" s="282"/>
      <c r="D14" s="282"/>
      <c r="E14" s="282"/>
      <c r="F14" s="282"/>
      <c r="G14" s="282"/>
      <c r="H14" s="282"/>
      <c r="I14" s="282"/>
      <c r="J14" s="282"/>
    </row>
    <row r="15" spans="1:10" x14ac:dyDescent="0.2">
      <c r="A15" s="282" t="s">
        <v>967</v>
      </c>
      <c r="B15" s="282"/>
      <c r="C15" s="282"/>
      <c r="D15" s="282"/>
      <c r="E15" s="282"/>
      <c r="F15" s="282"/>
      <c r="G15" s="282"/>
      <c r="H15" s="282"/>
      <c r="I15" s="282"/>
      <c r="J15" s="282"/>
    </row>
    <row r="16" spans="1:10" x14ac:dyDescent="0.2">
      <c r="A16" s="345"/>
      <c r="B16" s="345"/>
      <c r="C16" s="345"/>
      <c r="D16" s="345"/>
      <c r="E16" s="345"/>
      <c r="F16" s="345"/>
      <c r="G16" s="345"/>
      <c r="H16" s="345"/>
      <c r="I16" s="345"/>
      <c r="J16" s="345"/>
    </row>
    <row r="17" spans="1:10" ht="15" customHeight="1" x14ac:dyDescent="0.2">
      <c r="A17" s="128" t="s">
        <v>267</v>
      </c>
      <c r="B17" s="128"/>
      <c r="C17" s="128"/>
      <c r="D17" s="128"/>
      <c r="E17" s="128"/>
      <c r="F17" s="128"/>
      <c r="G17" s="128"/>
      <c r="H17" s="128"/>
      <c r="I17" s="128"/>
      <c r="J17" s="128"/>
    </row>
    <row r="18" spans="1:10" x14ac:dyDescent="0.2">
      <c r="A18" s="282" t="s">
        <v>968</v>
      </c>
      <c r="B18" s="282"/>
      <c r="C18" s="282"/>
      <c r="D18" s="282"/>
      <c r="E18" s="282"/>
      <c r="F18" s="282"/>
      <c r="G18" s="282"/>
      <c r="H18" s="282"/>
      <c r="I18" s="282"/>
      <c r="J18" s="282"/>
    </row>
    <row r="19" spans="1:10" x14ac:dyDescent="0.2">
      <c r="A19" s="282" t="s">
        <v>969</v>
      </c>
      <c r="B19" s="282"/>
      <c r="C19" s="282"/>
      <c r="D19" s="282"/>
      <c r="E19" s="282"/>
      <c r="F19" s="282"/>
      <c r="G19" s="282"/>
      <c r="H19" s="282"/>
      <c r="I19" s="282"/>
      <c r="J19" s="282"/>
    </row>
    <row r="20" spans="1:10" x14ac:dyDescent="0.2">
      <c r="A20" s="188" t="s">
        <v>970</v>
      </c>
      <c r="B20" s="188"/>
      <c r="C20" s="188"/>
      <c r="D20" s="188"/>
      <c r="E20" s="188"/>
      <c r="F20" s="188"/>
      <c r="G20" s="188"/>
      <c r="H20" s="188"/>
      <c r="I20" s="188"/>
      <c r="J20" s="188"/>
    </row>
    <row r="21" spans="1:10" x14ac:dyDescent="0.2">
      <c r="A21" s="188" t="s">
        <v>971</v>
      </c>
      <c r="B21" s="188"/>
      <c r="C21" s="188"/>
      <c r="D21" s="188"/>
      <c r="E21" s="188"/>
      <c r="F21" s="188"/>
      <c r="G21" s="188"/>
      <c r="H21" s="188"/>
      <c r="I21" s="188"/>
      <c r="J21" s="188"/>
    </row>
    <row r="22" spans="1:10" x14ac:dyDescent="0.2">
      <c r="A22" s="188" t="s">
        <v>972</v>
      </c>
      <c r="B22" s="188"/>
      <c r="C22" s="188"/>
      <c r="D22" s="188"/>
      <c r="E22" s="188"/>
      <c r="F22" s="188"/>
      <c r="G22" s="188"/>
      <c r="H22" s="188"/>
      <c r="I22" s="188"/>
      <c r="J22" s="188"/>
    </row>
    <row r="23" spans="1:10" ht="17.25" customHeight="1" x14ac:dyDescent="0.2">
      <c r="A23" s="188" t="s">
        <v>973</v>
      </c>
      <c r="B23" s="188"/>
      <c r="C23" s="188"/>
      <c r="D23" s="188"/>
      <c r="E23" s="188"/>
      <c r="F23" s="188"/>
      <c r="G23" s="188"/>
      <c r="H23" s="188"/>
      <c r="I23" s="188"/>
      <c r="J23" s="188"/>
    </row>
    <row r="24" spans="1:10" ht="15" customHeight="1" x14ac:dyDescent="0.2">
      <c r="A24" s="282" t="s">
        <v>974</v>
      </c>
      <c r="B24" s="282"/>
      <c r="C24" s="282"/>
      <c r="D24" s="282"/>
      <c r="E24" s="282"/>
      <c r="F24" s="282"/>
      <c r="G24" s="282"/>
      <c r="H24" s="282"/>
      <c r="I24" s="282"/>
      <c r="J24" s="282"/>
    </row>
    <row r="25" spans="1:10" ht="9" customHeight="1" x14ac:dyDescent="0.2">
      <c r="A25" s="345"/>
      <c r="B25" s="345"/>
      <c r="C25" s="345"/>
      <c r="D25" s="345"/>
      <c r="E25" s="345"/>
      <c r="F25" s="345"/>
      <c r="G25" s="345"/>
      <c r="H25" s="345"/>
      <c r="I25" s="345"/>
      <c r="J25" s="345"/>
    </row>
    <row r="26" spans="1:10" x14ac:dyDescent="0.2">
      <c r="A26" s="128" t="s">
        <v>269</v>
      </c>
      <c r="B26" s="128"/>
      <c r="C26" s="128"/>
      <c r="D26" s="128"/>
      <c r="E26" s="128"/>
      <c r="F26" s="128"/>
      <c r="G26" s="128"/>
      <c r="H26" s="128"/>
      <c r="I26" s="128"/>
      <c r="J26" s="128"/>
    </row>
    <row r="27" spans="1:10" s="398" customFormat="1" x14ac:dyDescent="0.2">
      <c r="A27" s="317" t="s">
        <v>829</v>
      </c>
      <c r="B27" s="317"/>
      <c r="C27" s="317"/>
      <c r="D27" s="317"/>
      <c r="E27" s="317"/>
      <c r="F27" s="317"/>
      <c r="G27" s="317"/>
      <c r="H27" s="317"/>
      <c r="I27" s="317"/>
      <c r="J27" s="317"/>
    </row>
    <row r="28" spans="1:10" ht="15" customHeight="1" x14ac:dyDescent="0.2">
      <c r="A28" s="128" t="s">
        <v>272</v>
      </c>
      <c r="B28" s="128"/>
      <c r="C28" s="128"/>
      <c r="D28" s="128"/>
      <c r="E28" s="128"/>
      <c r="F28" s="128"/>
      <c r="G28" s="128"/>
      <c r="H28" s="128"/>
      <c r="I28" s="128"/>
      <c r="J28" s="128"/>
    </row>
    <row r="29" spans="1:10" x14ac:dyDescent="0.2">
      <c r="A29" s="317" t="s">
        <v>830</v>
      </c>
      <c r="B29" s="317"/>
      <c r="C29" s="317"/>
      <c r="D29" s="317"/>
      <c r="E29" s="317"/>
      <c r="F29" s="317"/>
      <c r="G29" s="317"/>
      <c r="H29" s="317"/>
      <c r="I29" s="317"/>
      <c r="J29" s="317"/>
    </row>
    <row r="30" spans="1:10" ht="10.9" customHeight="1" x14ac:dyDescent="0.2">
      <c r="A30" s="399"/>
      <c r="B30" s="400"/>
      <c r="C30" s="400"/>
      <c r="D30" s="400"/>
      <c r="E30" s="400"/>
      <c r="F30" s="400"/>
      <c r="G30" s="400"/>
      <c r="H30" s="400"/>
      <c r="I30" s="400"/>
      <c r="J30" s="401"/>
    </row>
    <row r="31" spans="1:10" x14ac:dyDescent="0.2">
      <c r="A31" s="128" t="s">
        <v>275</v>
      </c>
      <c r="B31" s="128"/>
      <c r="C31" s="128"/>
      <c r="D31" s="128"/>
      <c r="E31" s="128"/>
      <c r="F31" s="128"/>
      <c r="G31" s="128"/>
      <c r="H31" s="128"/>
      <c r="I31" s="128"/>
      <c r="J31" s="128"/>
    </row>
    <row r="32" spans="1:10" ht="33.75" x14ac:dyDescent="0.2">
      <c r="A32" s="130" t="s">
        <v>243</v>
      </c>
      <c r="B32" s="131" t="s">
        <v>242</v>
      </c>
      <c r="C32" s="131"/>
      <c r="D32" s="131"/>
      <c r="E32" s="132" t="str">
        <f>Summary!$G$25</f>
        <v>Actuals           2014-2015</v>
      </c>
      <c r="F32" s="132" t="str">
        <f>Summary!$H$25</f>
        <v>Approved Estimates          2015-2016</v>
      </c>
      <c r="G32" s="132" t="str">
        <f>Summary!$I$25</f>
        <v>Revised Estimates                 2015-2016</v>
      </c>
      <c r="H32" s="132" t="str">
        <f>Summary!$J$25</f>
        <v>Budget Estimates      2016-2017</v>
      </c>
      <c r="I32" s="132" t="str">
        <f>Summary!$K$25</f>
        <v>Forward Estimates     2017-2018</v>
      </c>
      <c r="J32" s="132" t="str">
        <f>Summary!$L$25</f>
        <v>Forward Estimates     2018-2019</v>
      </c>
    </row>
    <row r="33" spans="1:10" x14ac:dyDescent="0.2">
      <c r="A33" s="128" t="s">
        <v>276</v>
      </c>
      <c r="B33" s="128"/>
      <c r="C33" s="128"/>
      <c r="D33" s="128"/>
      <c r="E33" s="128"/>
      <c r="F33" s="128"/>
      <c r="G33" s="128"/>
      <c r="H33" s="128"/>
      <c r="I33" s="128"/>
      <c r="J33" s="128"/>
    </row>
    <row r="34" spans="1:10" ht="15" customHeight="1" x14ac:dyDescent="0.2">
      <c r="A34" s="207">
        <v>170</v>
      </c>
      <c r="B34" s="129" t="s">
        <v>975</v>
      </c>
      <c r="C34" s="129"/>
      <c r="D34" s="129"/>
      <c r="E34" s="211">
        <f t="shared" ref="E34:J34" si="0">E75</f>
        <v>0</v>
      </c>
      <c r="F34" s="209">
        <f t="shared" si="0"/>
        <v>0</v>
      </c>
      <c r="G34" s="211">
        <f t="shared" si="0"/>
        <v>0</v>
      </c>
      <c r="H34" s="210">
        <f t="shared" si="0"/>
        <v>0</v>
      </c>
      <c r="I34" s="211">
        <f t="shared" si="0"/>
        <v>0</v>
      </c>
      <c r="J34" s="211">
        <f t="shared" si="0"/>
        <v>0</v>
      </c>
    </row>
    <row r="35" spans="1:10" ht="15" customHeight="1" x14ac:dyDescent="0.2">
      <c r="A35" s="207">
        <v>171</v>
      </c>
      <c r="B35" s="129" t="s">
        <v>837</v>
      </c>
      <c r="C35" s="129"/>
      <c r="D35" s="129"/>
      <c r="E35" s="211">
        <f t="shared" ref="E35:J35" si="1">E137</f>
        <v>0</v>
      </c>
      <c r="F35" s="209">
        <f t="shared" si="1"/>
        <v>0</v>
      </c>
      <c r="G35" s="211">
        <f t="shared" si="1"/>
        <v>0</v>
      </c>
      <c r="H35" s="210">
        <f t="shared" si="1"/>
        <v>0</v>
      </c>
      <c r="I35" s="211">
        <f t="shared" si="1"/>
        <v>0</v>
      </c>
      <c r="J35" s="211">
        <f t="shared" si="1"/>
        <v>0</v>
      </c>
    </row>
    <row r="36" spans="1:10" ht="15" customHeight="1" x14ac:dyDescent="0.2">
      <c r="A36" s="207">
        <v>172</v>
      </c>
      <c r="B36" s="129" t="s">
        <v>976</v>
      </c>
      <c r="C36" s="129"/>
      <c r="D36" s="129"/>
      <c r="E36" s="211">
        <f t="shared" ref="E36:J36" si="2">E194</f>
        <v>0</v>
      </c>
      <c r="F36" s="209">
        <f t="shared" si="2"/>
        <v>0</v>
      </c>
      <c r="G36" s="211">
        <f t="shared" si="2"/>
        <v>0</v>
      </c>
      <c r="H36" s="210">
        <f t="shared" si="2"/>
        <v>0</v>
      </c>
      <c r="I36" s="211">
        <f t="shared" si="2"/>
        <v>0</v>
      </c>
      <c r="J36" s="211">
        <f t="shared" si="2"/>
        <v>0</v>
      </c>
    </row>
    <row r="37" spans="1:10" ht="15" customHeight="1" x14ac:dyDescent="0.2">
      <c r="A37" s="207">
        <v>173</v>
      </c>
      <c r="B37" s="129" t="s">
        <v>977</v>
      </c>
      <c r="C37" s="129"/>
      <c r="D37" s="129"/>
      <c r="E37" s="211">
        <f t="shared" ref="E37:J37" si="3">E251</f>
        <v>203712.86000000004</v>
      </c>
      <c r="F37" s="209">
        <f t="shared" si="3"/>
        <v>0</v>
      </c>
      <c r="G37" s="211">
        <f t="shared" si="3"/>
        <v>0</v>
      </c>
      <c r="H37" s="210">
        <f t="shared" si="3"/>
        <v>0</v>
      </c>
      <c r="I37" s="211">
        <f t="shared" si="3"/>
        <v>0</v>
      </c>
      <c r="J37" s="211">
        <f t="shared" si="3"/>
        <v>0</v>
      </c>
    </row>
    <row r="38" spans="1:10" ht="15" customHeight="1" x14ac:dyDescent="0.2">
      <c r="A38" s="137" t="s">
        <v>889</v>
      </c>
      <c r="B38" s="137"/>
      <c r="C38" s="137"/>
      <c r="D38" s="137"/>
      <c r="E38" s="138">
        <f t="shared" ref="E38:J38" si="4">SUM(E34:E37)</f>
        <v>203712.86000000004</v>
      </c>
      <c r="F38" s="138">
        <f t="shared" si="4"/>
        <v>0</v>
      </c>
      <c r="G38" s="138">
        <f t="shared" si="4"/>
        <v>0</v>
      </c>
      <c r="H38" s="138">
        <f t="shared" si="4"/>
        <v>0</v>
      </c>
      <c r="I38" s="138">
        <f t="shared" si="4"/>
        <v>0</v>
      </c>
      <c r="J38" s="138">
        <f t="shared" si="4"/>
        <v>0</v>
      </c>
    </row>
    <row r="39" spans="1:10" ht="15" customHeight="1" x14ac:dyDescent="0.2">
      <c r="A39" s="129"/>
      <c r="B39" s="129"/>
      <c r="C39" s="129"/>
      <c r="D39" s="129"/>
      <c r="E39" s="129"/>
      <c r="F39" s="129"/>
      <c r="G39" s="129"/>
      <c r="H39" s="129"/>
      <c r="I39" s="129"/>
      <c r="J39" s="129"/>
    </row>
    <row r="40" spans="1:10" x14ac:dyDescent="0.2">
      <c r="A40" s="128" t="s">
        <v>281</v>
      </c>
      <c r="B40" s="128"/>
      <c r="C40" s="128"/>
      <c r="D40" s="128"/>
      <c r="E40" s="128"/>
      <c r="F40" s="128"/>
      <c r="G40" s="128"/>
      <c r="H40" s="128"/>
      <c r="I40" s="128"/>
      <c r="J40" s="128"/>
    </row>
    <row r="41" spans="1:10" ht="15" customHeight="1" x14ac:dyDescent="0.2">
      <c r="A41" s="207">
        <v>170</v>
      </c>
      <c r="B41" s="129" t="s">
        <v>975</v>
      </c>
      <c r="C41" s="129"/>
      <c r="D41" s="129"/>
      <c r="E41" s="211">
        <f t="shared" ref="E41:J41" si="5">E96+E105</f>
        <v>6562193.1900000004</v>
      </c>
      <c r="F41" s="209">
        <f t="shared" si="5"/>
        <v>0</v>
      </c>
      <c r="G41" s="211">
        <f t="shared" si="5"/>
        <v>0</v>
      </c>
      <c r="H41" s="210">
        <f t="shared" si="5"/>
        <v>0</v>
      </c>
      <c r="I41" s="211">
        <f t="shared" si="5"/>
        <v>0</v>
      </c>
      <c r="J41" s="211">
        <f t="shared" si="5"/>
        <v>0</v>
      </c>
    </row>
    <row r="42" spans="1:10" ht="15" customHeight="1" x14ac:dyDescent="0.2">
      <c r="A42" s="207">
        <v>171</v>
      </c>
      <c r="B42" s="129" t="s">
        <v>837</v>
      </c>
      <c r="C42" s="129"/>
      <c r="D42" s="129"/>
      <c r="E42" s="211">
        <f t="shared" ref="E42:J42" si="6">E153+E160</f>
        <v>237799.58</v>
      </c>
      <c r="F42" s="209">
        <f t="shared" si="6"/>
        <v>0</v>
      </c>
      <c r="G42" s="211">
        <f t="shared" si="6"/>
        <v>0</v>
      </c>
      <c r="H42" s="210">
        <f t="shared" si="6"/>
        <v>0</v>
      </c>
      <c r="I42" s="211">
        <f t="shared" si="6"/>
        <v>0</v>
      </c>
      <c r="J42" s="211">
        <f t="shared" si="6"/>
        <v>0</v>
      </c>
    </row>
    <row r="43" spans="1:10" ht="15" customHeight="1" x14ac:dyDescent="0.2">
      <c r="A43" s="207">
        <v>172</v>
      </c>
      <c r="B43" s="129" t="s">
        <v>976</v>
      </c>
      <c r="C43" s="129"/>
      <c r="D43" s="129"/>
      <c r="E43" s="211">
        <f t="shared" ref="E43:J43" si="7">E211+E218</f>
        <v>1825549.73</v>
      </c>
      <c r="F43" s="209">
        <f t="shared" si="7"/>
        <v>0</v>
      </c>
      <c r="G43" s="211">
        <f t="shared" si="7"/>
        <v>0</v>
      </c>
      <c r="H43" s="210">
        <f t="shared" si="7"/>
        <v>0</v>
      </c>
      <c r="I43" s="211">
        <f t="shared" si="7"/>
        <v>0</v>
      </c>
      <c r="J43" s="211">
        <f t="shared" si="7"/>
        <v>0</v>
      </c>
    </row>
    <row r="44" spans="1:10" ht="15" customHeight="1" x14ac:dyDescent="0.2">
      <c r="A44" s="207">
        <v>173</v>
      </c>
      <c r="B44" s="129" t="s">
        <v>977</v>
      </c>
      <c r="C44" s="129"/>
      <c r="D44" s="129"/>
      <c r="E44" s="211">
        <f t="shared" ref="E44:J44" si="8">E276+E282</f>
        <v>969649.8600000001</v>
      </c>
      <c r="F44" s="209">
        <f t="shared" si="8"/>
        <v>0</v>
      </c>
      <c r="G44" s="211">
        <f t="shared" si="8"/>
        <v>0</v>
      </c>
      <c r="H44" s="210">
        <f t="shared" si="8"/>
        <v>0</v>
      </c>
      <c r="I44" s="211">
        <f t="shared" si="8"/>
        <v>0</v>
      </c>
      <c r="J44" s="211">
        <f t="shared" si="8"/>
        <v>0</v>
      </c>
    </row>
    <row r="45" spans="1:10" x14ac:dyDescent="0.2">
      <c r="A45" s="139" t="s">
        <v>978</v>
      </c>
      <c r="B45" s="139"/>
      <c r="C45" s="139"/>
      <c r="D45" s="139"/>
      <c r="E45" s="140">
        <f t="shared" ref="E45:J45" si="9">SUM(E41:E44)</f>
        <v>9595192.3599999994</v>
      </c>
      <c r="F45" s="140">
        <f t="shared" si="9"/>
        <v>0</v>
      </c>
      <c r="G45" s="140">
        <f t="shared" si="9"/>
        <v>0</v>
      </c>
      <c r="H45" s="140">
        <f t="shared" si="9"/>
        <v>0</v>
      </c>
      <c r="I45" s="140">
        <f t="shared" si="9"/>
        <v>0</v>
      </c>
      <c r="J45" s="140">
        <f t="shared" si="9"/>
        <v>0</v>
      </c>
    </row>
    <row r="46" spans="1:10" ht="15" customHeight="1" x14ac:dyDescent="0.2">
      <c r="A46" s="151"/>
      <c r="B46" s="151"/>
      <c r="C46" s="151"/>
      <c r="D46" s="151"/>
      <c r="E46" s="261"/>
      <c r="F46" s="286"/>
      <c r="G46" s="261"/>
      <c r="H46" s="303"/>
      <c r="I46" s="261"/>
      <c r="J46" s="261"/>
    </row>
    <row r="47" spans="1:10" x14ac:dyDescent="0.2">
      <c r="A47" s="141" t="s">
        <v>283</v>
      </c>
      <c r="B47" s="141"/>
      <c r="C47" s="141"/>
      <c r="D47" s="141"/>
      <c r="E47" s="141"/>
      <c r="F47" s="141"/>
      <c r="G47" s="141"/>
      <c r="H47" s="141"/>
      <c r="I47" s="141"/>
      <c r="J47" s="141"/>
    </row>
    <row r="48" spans="1:10" ht="15" customHeight="1" x14ac:dyDescent="0.2">
      <c r="A48" s="402" t="s">
        <v>284</v>
      </c>
      <c r="B48" s="403"/>
      <c r="C48" s="403"/>
      <c r="D48" s="403"/>
      <c r="E48" s="403"/>
      <c r="F48" s="403"/>
      <c r="G48" s="403"/>
      <c r="H48" s="403"/>
      <c r="I48" s="403"/>
      <c r="J48" s="404"/>
    </row>
    <row r="49" spans="1:10" ht="15" customHeight="1" x14ac:dyDescent="0.2">
      <c r="A49" s="261"/>
      <c r="B49" s="129" t="s">
        <v>7</v>
      </c>
      <c r="C49" s="101"/>
      <c r="D49" s="101"/>
      <c r="E49" s="158">
        <f t="shared" ref="E49:J49" si="10">E319</f>
        <v>1563517.69</v>
      </c>
      <c r="F49" s="209">
        <f t="shared" si="10"/>
        <v>0</v>
      </c>
      <c r="G49" s="158">
        <f t="shared" si="10"/>
        <v>0</v>
      </c>
      <c r="H49" s="136">
        <f t="shared" si="10"/>
        <v>0</v>
      </c>
      <c r="I49" s="158">
        <f t="shared" si="10"/>
        <v>0</v>
      </c>
      <c r="J49" s="135">
        <f t="shared" si="10"/>
        <v>0</v>
      </c>
    </row>
    <row r="50" spans="1:10" ht="15" customHeight="1" x14ac:dyDescent="0.2">
      <c r="A50" s="261"/>
      <c r="B50" s="129" t="s">
        <v>196</v>
      </c>
      <c r="C50" s="101"/>
      <c r="D50" s="101"/>
      <c r="E50" s="158">
        <f t="shared" ref="E50:J50" si="11">E325</f>
        <v>8815.0499999999993</v>
      </c>
      <c r="F50" s="209">
        <f t="shared" si="11"/>
        <v>0</v>
      </c>
      <c r="G50" s="158">
        <f t="shared" si="11"/>
        <v>0</v>
      </c>
      <c r="H50" s="136">
        <f t="shared" si="11"/>
        <v>0</v>
      </c>
      <c r="I50" s="158">
        <f t="shared" si="11"/>
        <v>0</v>
      </c>
      <c r="J50" s="135">
        <f t="shared" si="11"/>
        <v>0</v>
      </c>
    </row>
    <row r="51" spans="1:10" x14ac:dyDescent="0.2">
      <c r="A51" s="261"/>
      <c r="B51" s="129" t="s">
        <v>285</v>
      </c>
      <c r="C51" s="101"/>
      <c r="D51" s="101"/>
      <c r="E51" s="158">
        <f t="shared" ref="E51:J51" si="12">E331</f>
        <v>215192.83000000002</v>
      </c>
      <c r="F51" s="209">
        <f t="shared" si="12"/>
        <v>0</v>
      </c>
      <c r="G51" s="158">
        <f t="shared" si="12"/>
        <v>0</v>
      </c>
      <c r="H51" s="136">
        <f t="shared" si="12"/>
        <v>0</v>
      </c>
      <c r="I51" s="158">
        <f t="shared" si="12"/>
        <v>0</v>
      </c>
      <c r="J51" s="135">
        <f t="shared" si="12"/>
        <v>0</v>
      </c>
    </row>
    <row r="52" spans="1:10" ht="15" customHeight="1" x14ac:dyDescent="0.2">
      <c r="A52" s="261"/>
      <c r="B52" s="129" t="s">
        <v>198</v>
      </c>
      <c r="C52" s="101"/>
      <c r="D52" s="101"/>
      <c r="E52" s="158">
        <f t="shared" ref="E52:J52" si="13">E338</f>
        <v>18543.66</v>
      </c>
      <c r="F52" s="209">
        <f t="shared" si="13"/>
        <v>0</v>
      </c>
      <c r="G52" s="158">
        <f t="shared" si="13"/>
        <v>0</v>
      </c>
      <c r="H52" s="136">
        <f t="shared" si="13"/>
        <v>0</v>
      </c>
      <c r="I52" s="158">
        <f t="shared" si="13"/>
        <v>0</v>
      </c>
      <c r="J52" s="135">
        <f t="shared" si="13"/>
        <v>0</v>
      </c>
    </row>
    <row r="53" spans="1:10" ht="15" customHeight="1" x14ac:dyDescent="0.2">
      <c r="A53" s="261"/>
      <c r="B53" s="129" t="s">
        <v>286</v>
      </c>
      <c r="C53" s="101"/>
      <c r="D53" s="101"/>
      <c r="E53" s="158">
        <f t="shared" ref="E53:J53" si="14">E345</f>
        <v>2020605.47</v>
      </c>
      <c r="F53" s="209">
        <f t="shared" si="14"/>
        <v>0</v>
      </c>
      <c r="G53" s="158">
        <f t="shared" si="14"/>
        <v>0</v>
      </c>
      <c r="H53" s="136">
        <f t="shared" si="14"/>
        <v>0</v>
      </c>
      <c r="I53" s="158">
        <f t="shared" si="14"/>
        <v>0</v>
      </c>
      <c r="J53" s="135">
        <f t="shared" si="14"/>
        <v>0</v>
      </c>
    </row>
    <row r="54" spans="1:10" ht="15" customHeight="1" x14ac:dyDescent="0.2">
      <c r="A54" s="139" t="s">
        <v>287</v>
      </c>
      <c r="B54" s="139"/>
      <c r="C54" s="139"/>
      <c r="D54" s="139"/>
      <c r="E54" s="140">
        <f t="shared" ref="E54:J54" si="15">SUM(E49:E53)</f>
        <v>3826674.7</v>
      </c>
      <c r="F54" s="140">
        <f t="shared" si="15"/>
        <v>0</v>
      </c>
      <c r="G54" s="140">
        <f t="shared" si="15"/>
        <v>0</v>
      </c>
      <c r="H54" s="140">
        <f t="shared" si="15"/>
        <v>0</v>
      </c>
      <c r="I54" s="140">
        <f t="shared" si="15"/>
        <v>0</v>
      </c>
      <c r="J54" s="140">
        <f t="shared" si="15"/>
        <v>0</v>
      </c>
    </row>
    <row r="55" spans="1:10" ht="15" customHeight="1" x14ac:dyDescent="0.2">
      <c r="A55" s="129"/>
      <c r="B55" s="129"/>
      <c r="C55" s="129"/>
      <c r="D55" s="129"/>
      <c r="E55" s="129"/>
      <c r="F55" s="129"/>
      <c r="G55" s="129"/>
      <c r="H55" s="129"/>
      <c r="I55" s="129"/>
      <c r="J55" s="129"/>
    </row>
    <row r="56" spans="1:10" x14ac:dyDescent="0.2">
      <c r="A56" s="131" t="s">
        <v>15</v>
      </c>
      <c r="B56" s="131"/>
      <c r="C56" s="131"/>
      <c r="D56" s="131"/>
      <c r="E56" s="131"/>
      <c r="F56" s="131"/>
      <c r="G56" s="131"/>
      <c r="H56" s="131"/>
      <c r="I56" s="131"/>
      <c r="J56" s="131"/>
    </row>
    <row r="57" spans="1:10" ht="34.5" customHeight="1" x14ac:dyDescent="0.2">
      <c r="A57" s="130" t="s">
        <v>243</v>
      </c>
      <c r="B57" s="130" t="s">
        <v>244</v>
      </c>
      <c r="C57" s="131" t="s">
        <v>245</v>
      </c>
      <c r="D57" s="142"/>
      <c r="E57" s="132" t="str">
        <f t="shared" ref="E57:J57" si="16">E32</f>
        <v>Actuals           2014-2015</v>
      </c>
      <c r="F57" s="132" t="str">
        <f t="shared" si="16"/>
        <v>Approved Estimates          2015-2016</v>
      </c>
      <c r="G57" s="132" t="str">
        <f t="shared" si="16"/>
        <v>Revised Estimates                 2015-2016</v>
      </c>
      <c r="H57" s="132" t="str">
        <f t="shared" si="16"/>
        <v>Budget Estimates      2016-2017</v>
      </c>
      <c r="I57" s="132" t="str">
        <f t="shared" si="16"/>
        <v>Forward Estimates     2017-2018</v>
      </c>
      <c r="J57" s="132" t="str">
        <f t="shared" si="16"/>
        <v>Forward Estimates     2018-2019</v>
      </c>
    </row>
    <row r="58" spans="1:10" ht="15" customHeight="1" x14ac:dyDescent="0.2">
      <c r="A58" s="405" t="str">
        <f t="shared" ref="A58" si="17">RIGHT(A101,3)</f>
        <v>02A</v>
      </c>
      <c r="B58" s="405" t="str">
        <f t="shared" ref="B58:C61" si="18">B101</f>
        <v>DFID</v>
      </c>
      <c r="C58" s="406" t="str">
        <f t="shared" si="18"/>
        <v>MDC Operations 2012</v>
      </c>
      <c r="D58" s="407"/>
      <c r="E58" s="158">
        <f t="shared" ref="E58:J61" si="19">E101</f>
        <v>5255912</v>
      </c>
      <c r="F58" s="209">
        <f t="shared" si="19"/>
        <v>0</v>
      </c>
      <c r="G58" s="158">
        <f t="shared" si="19"/>
        <v>0</v>
      </c>
      <c r="H58" s="136">
        <f t="shared" si="19"/>
        <v>0</v>
      </c>
      <c r="I58" s="158">
        <f t="shared" si="19"/>
        <v>0</v>
      </c>
      <c r="J58" s="135">
        <f t="shared" si="19"/>
        <v>0</v>
      </c>
    </row>
    <row r="59" spans="1:10" x14ac:dyDescent="0.2">
      <c r="A59" s="405" t="str">
        <f>RIGHT(A102,3)</f>
        <v>56A</v>
      </c>
      <c r="B59" s="405" t="str">
        <f t="shared" si="18"/>
        <v>LOCAL</v>
      </c>
      <c r="C59" s="406" t="str">
        <f t="shared" si="18"/>
        <v>BNTF 6</v>
      </c>
      <c r="D59" s="407"/>
      <c r="E59" s="158">
        <f t="shared" si="19"/>
        <v>323879.73</v>
      </c>
      <c r="F59" s="209">
        <f t="shared" si="19"/>
        <v>0</v>
      </c>
      <c r="G59" s="158">
        <f t="shared" si="19"/>
        <v>0</v>
      </c>
      <c r="H59" s="136">
        <f t="shared" si="19"/>
        <v>0</v>
      </c>
      <c r="I59" s="158">
        <f t="shared" si="19"/>
        <v>0</v>
      </c>
      <c r="J59" s="135">
        <f t="shared" si="19"/>
        <v>0</v>
      </c>
    </row>
    <row r="60" spans="1:10" ht="15" customHeight="1" x14ac:dyDescent="0.2">
      <c r="A60" s="405" t="str">
        <f>RIGHT(A103,3)</f>
        <v>67A</v>
      </c>
      <c r="B60" s="405" t="str">
        <f t="shared" si="18"/>
        <v>EU</v>
      </c>
      <c r="C60" s="406" t="str">
        <f t="shared" si="18"/>
        <v>Fibre Optic Cable Phase 2</v>
      </c>
      <c r="D60" s="407"/>
      <c r="E60" s="158">
        <f t="shared" si="19"/>
        <v>168025.93</v>
      </c>
      <c r="F60" s="209">
        <f t="shared" si="19"/>
        <v>0</v>
      </c>
      <c r="G60" s="158">
        <f t="shared" si="19"/>
        <v>0</v>
      </c>
      <c r="H60" s="136">
        <f t="shared" si="19"/>
        <v>0</v>
      </c>
      <c r="I60" s="158">
        <f t="shared" si="19"/>
        <v>0</v>
      </c>
      <c r="J60" s="135">
        <f t="shared" si="19"/>
        <v>0</v>
      </c>
    </row>
    <row r="61" spans="1:10" x14ac:dyDescent="0.2">
      <c r="A61" s="405" t="str">
        <f>RIGHT(A104,3)</f>
        <v>74A</v>
      </c>
      <c r="B61" s="405" t="str">
        <f t="shared" si="18"/>
        <v>EU</v>
      </c>
      <c r="C61" s="406" t="str">
        <f t="shared" si="18"/>
        <v>ICT</v>
      </c>
      <c r="D61" s="407"/>
      <c r="E61" s="158">
        <f t="shared" si="19"/>
        <v>20700</v>
      </c>
      <c r="F61" s="209">
        <f t="shared" si="19"/>
        <v>0</v>
      </c>
      <c r="G61" s="158">
        <f t="shared" si="19"/>
        <v>0</v>
      </c>
      <c r="H61" s="136">
        <f t="shared" si="19"/>
        <v>0</v>
      </c>
      <c r="I61" s="158">
        <f t="shared" si="19"/>
        <v>0</v>
      </c>
      <c r="J61" s="135">
        <f t="shared" si="19"/>
        <v>0</v>
      </c>
    </row>
    <row r="62" spans="1:10" ht="15" customHeight="1" x14ac:dyDescent="0.2">
      <c r="A62" s="139" t="s">
        <v>69</v>
      </c>
      <c r="B62" s="139"/>
      <c r="C62" s="139"/>
      <c r="D62" s="139"/>
      <c r="E62" s="140">
        <f t="shared" ref="E62:J62" si="20">SUM(E58:E61)</f>
        <v>5768517.6600000001</v>
      </c>
      <c r="F62" s="140">
        <f t="shared" si="20"/>
        <v>0</v>
      </c>
      <c r="G62" s="140">
        <f t="shared" si="20"/>
        <v>0</v>
      </c>
      <c r="H62" s="140">
        <f t="shared" si="20"/>
        <v>0</v>
      </c>
      <c r="I62" s="140">
        <f t="shared" si="20"/>
        <v>0</v>
      </c>
      <c r="J62" s="140">
        <f t="shared" si="20"/>
        <v>0</v>
      </c>
    </row>
    <row r="63" spans="1:10" x14ac:dyDescent="0.2">
      <c r="A63" s="129"/>
      <c r="B63" s="129"/>
      <c r="C63" s="129"/>
      <c r="D63" s="129"/>
      <c r="E63" s="129"/>
      <c r="F63" s="129"/>
      <c r="G63" s="129"/>
      <c r="H63" s="129"/>
      <c r="I63" s="129"/>
      <c r="J63" s="129"/>
    </row>
    <row r="64" spans="1:10" x14ac:dyDescent="0.2">
      <c r="A64" s="137" t="s">
        <v>978</v>
      </c>
      <c r="B64" s="137"/>
      <c r="C64" s="137"/>
      <c r="D64" s="137"/>
      <c r="E64" s="147">
        <f t="shared" ref="E64:J64" si="21">SUM(E54,E62)</f>
        <v>9595192.3599999994</v>
      </c>
      <c r="F64" s="147">
        <f t="shared" si="21"/>
        <v>0</v>
      </c>
      <c r="G64" s="147">
        <f t="shared" si="21"/>
        <v>0</v>
      </c>
      <c r="H64" s="147">
        <f t="shared" si="21"/>
        <v>0</v>
      </c>
      <c r="I64" s="147">
        <f t="shared" si="21"/>
        <v>0</v>
      </c>
      <c r="J64" s="147">
        <f t="shared" si="21"/>
        <v>0</v>
      </c>
    </row>
    <row r="65" spans="1:10" ht="15" customHeight="1" x14ac:dyDescent="0.2">
      <c r="A65" s="129"/>
      <c r="B65" s="129"/>
      <c r="C65" s="129"/>
      <c r="D65" s="129"/>
      <c r="E65" s="129"/>
      <c r="F65" s="129"/>
      <c r="G65" s="129"/>
      <c r="H65" s="129"/>
      <c r="I65" s="129"/>
      <c r="J65" s="129"/>
    </row>
    <row r="66" spans="1:10" x14ac:dyDescent="0.2">
      <c r="A66" s="128" t="s">
        <v>288</v>
      </c>
      <c r="B66" s="128"/>
      <c r="C66" s="128"/>
      <c r="D66" s="128"/>
      <c r="E66" s="128"/>
      <c r="F66" s="128"/>
      <c r="G66" s="128"/>
      <c r="H66" s="128"/>
      <c r="I66" s="128"/>
      <c r="J66" s="128"/>
    </row>
    <row r="67" spans="1:10" x14ac:dyDescent="0.2">
      <c r="A67" s="137" t="s">
        <v>289</v>
      </c>
      <c r="B67" s="137"/>
      <c r="C67" s="137"/>
      <c r="D67" s="137"/>
      <c r="E67" s="149"/>
      <c r="F67" s="149"/>
      <c r="G67" s="149"/>
      <c r="H67" s="148"/>
      <c r="I67" s="149"/>
      <c r="J67" s="149"/>
    </row>
    <row r="68" spans="1:10" x14ac:dyDescent="0.2">
      <c r="A68" s="129"/>
      <c r="B68" s="129"/>
      <c r="C68" s="129"/>
      <c r="D68" s="129"/>
      <c r="E68" s="129"/>
      <c r="F68" s="129"/>
      <c r="G68" s="129"/>
      <c r="H68" s="129"/>
      <c r="I68" s="129"/>
      <c r="J68" s="129"/>
    </row>
    <row r="69" spans="1:10" x14ac:dyDescent="0.2">
      <c r="A69" s="150" t="s">
        <v>979</v>
      </c>
      <c r="B69" s="150"/>
      <c r="C69" s="150"/>
      <c r="D69" s="150"/>
      <c r="E69" s="150"/>
      <c r="F69" s="150"/>
      <c r="G69" s="150"/>
      <c r="H69" s="150"/>
      <c r="I69" s="150"/>
      <c r="J69" s="150"/>
    </row>
    <row r="70" spans="1:10" x14ac:dyDescent="0.2">
      <c r="A70" s="151" t="s">
        <v>291</v>
      </c>
      <c r="B70" s="151"/>
      <c r="C70" s="151"/>
      <c r="D70" s="101"/>
      <c r="E70" s="101"/>
      <c r="F70" s="101"/>
      <c r="G70" s="101"/>
      <c r="H70" s="101"/>
      <c r="I70" s="101"/>
      <c r="J70" s="101"/>
    </row>
    <row r="71" spans="1:10" ht="27" customHeight="1" x14ac:dyDescent="0.2">
      <c r="A71" s="129" t="s">
        <v>980</v>
      </c>
      <c r="B71" s="129"/>
      <c r="C71" s="129"/>
      <c r="D71" s="129"/>
      <c r="E71" s="129"/>
      <c r="F71" s="129"/>
      <c r="G71" s="129"/>
      <c r="H71" s="129"/>
      <c r="I71" s="129"/>
      <c r="J71" s="129"/>
    </row>
    <row r="72" spans="1:10" ht="15" customHeight="1" x14ac:dyDescent="0.2">
      <c r="A72" s="128" t="s">
        <v>293</v>
      </c>
      <c r="B72" s="128"/>
      <c r="C72" s="128"/>
      <c r="D72" s="128"/>
      <c r="E72" s="128"/>
      <c r="F72" s="128"/>
      <c r="G72" s="128"/>
      <c r="H72" s="128"/>
      <c r="I72" s="128"/>
      <c r="J72" s="128"/>
    </row>
    <row r="73" spans="1:10" ht="33.75" x14ac:dyDescent="0.2">
      <c r="A73" s="152" t="s">
        <v>243</v>
      </c>
      <c r="B73" s="151" t="s">
        <v>242</v>
      </c>
      <c r="C73" s="151"/>
      <c r="D73" s="151"/>
      <c r="E73" s="132" t="str">
        <f t="shared" ref="E73:J73" si="22">E32</f>
        <v>Actuals           2014-2015</v>
      </c>
      <c r="F73" s="132" t="str">
        <f t="shared" si="22"/>
        <v>Approved Estimates          2015-2016</v>
      </c>
      <c r="G73" s="132" t="str">
        <f t="shared" si="22"/>
        <v>Revised Estimates                 2015-2016</v>
      </c>
      <c r="H73" s="132" t="str">
        <f t="shared" si="22"/>
        <v>Budget Estimates      2016-2017</v>
      </c>
      <c r="I73" s="132" t="str">
        <f t="shared" si="22"/>
        <v>Forward Estimates     2017-2018</v>
      </c>
      <c r="J73" s="132" t="str">
        <f t="shared" si="22"/>
        <v>Forward Estimates     2018-2019</v>
      </c>
    </row>
    <row r="74" spans="1:10" ht="15" customHeight="1" x14ac:dyDescent="0.2">
      <c r="A74" s="133"/>
      <c r="B74" s="134"/>
      <c r="C74" s="134"/>
      <c r="D74" s="134"/>
      <c r="E74" s="135"/>
      <c r="F74" s="262"/>
      <c r="G74" s="135"/>
      <c r="H74" s="136"/>
      <c r="I74" s="158"/>
      <c r="J74" s="135"/>
    </row>
    <row r="75" spans="1:10" ht="15" customHeight="1" x14ac:dyDescent="0.2">
      <c r="A75" s="137" t="s">
        <v>889</v>
      </c>
      <c r="B75" s="137"/>
      <c r="C75" s="137"/>
      <c r="D75" s="137"/>
      <c r="E75" s="138">
        <f t="shared" ref="E75:J75" si="23">SUM(E74:E74)</f>
        <v>0</v>
      </c>
      <c r="F75" s="138">
        <f t="shared" si="23"/>
        <v>0</v>
      </c>
      <c r="G75" s="138">
        <f t="shared" si="23"/>
        <v>0</v>
      </c>
      <c r="H75" s="138">
        <f t="shared" si="23"/>
        <v>0</v>
      </c>
      <c r="I75" s="138">
        <f t="shared" si="23"/>
        <v>0</v>
      </c>
      <c r="J75" s="138">
        <f t="shared" si="23"/>
        <v>0</v>
      </c>
    </row>
    <row r="76" spans="1:10" ht="8.25" customHeight="1" x14ac:dyDescent="0.2">
      <c r="A76" s="129"/>
      <c r="B76" s="129"/>
      <c r="C76" s="129"/>
      <c r="D76" s="129"/>
      <c r="E76" s="129"/>
      <c r="F76" s="129"/>
      <c r="G76" s="129"/>
      <c r="H76" s="129"/>
      <c r="I76" s="129"/>
      <c r="J76" s="129"/>
    </row>
    <row r="77" spans="1:10" ht="15" customHeight="1" x14ac:dyDescent="0.2">
      <c r="A77" s="128" t="s">
        <v>284</v>
      </c>
      <c r="B77" s="128"/>
      <c r="C77" s="128"/>
      <c r="D77" s="128"/>
      <c r="E77" s="128"/>
      <c r="F77" s="128"/>
      <c r="G77" s="128"/>
      <c r="H77" s="128"/>
      <c r="I77" s="128"/>
      <c r="J77" s="128"/>
    </row>
    <row r="78" spans="1:10" ht="33.75" x14ac:dyDescent="0.2">
      <c r="A78" s="152" t="s">
        <v>243</v>
      </c>
      <c r="B78" s="151" t="s">
        <v>242</v>
      </c>
      <c r="C78" s="151"/>
      <c r="D78" s="151"/>
      <c r="E78" s="132" t="str">
        <f t="shared" ref="E78:J78" si="24">E32</f>
        <v>Actuals           2014-2015</v>
      </c>
      <c r="F78" s="132" t="str">
        <f t="shared" si="24"/>
        <v>Approved Estimates          2015-2016</v>
      </c>
      <c r="G78" s="132" t="str">
        <f t="shared" si="24"/>
        <v>Revised Estimates                 2015-2016</v>
      </c>
      <c r="H78" s="132" t="str">
        <f t="shared" si="24"/>
        <v>Budget Estimates      2016-2017</v>
      </c>
      <c r="I78" s="132" t="str">
        <f t="shared" si="24"/>
        <v>Forward Estimates     2017-2018</v>
      </c>
      <c r="J78" s="132" t="str">
        <f t="shared" si="24"/>
        <v>Forward Estimates     2018-2019</v>
      </c>
    </row>
    <row r="79" spans="1:10" ht="12" customHeight="1" x14ac:dyDescent="0.2">
      <c r="A79" s="151" t="s">
        <v>7</v>
      </c>
      <c r="B79" s="151"/>
      <c r="C79" s="151"/>
      <c r="D79" s="151"/>
      <c r="E79" s="151"/>
      <c r="F79" s="151"/>
      <c r="G79" s="151"/>
      <c r="H79" s="151"/>
      <c r="I79" s="151"/>
      <c r="J79" s="190"/>
    </row>
    <row r="80" spans="1:10" x14ac:dyDescent="0.2">
      <c r="A80" s="133">
        <v>210</v>
      </c>
      <c r="B80" s="134" t="s">
        <v>7</v>
      </c>
      <c r="C80" s="134"/>
      <c r="D80" s="134"/>
      <c r="E80" s="135">
        <v>301447.32</v>
      </c>
      <c r="F80" s="262"/>
      <c r="G80" s="262"/>
      <c r="H80" s="136">
        <v>0</v>
      </c>
      <c r="I80" s="158">
        <v>0</v>
      </c>
      <c r="J80" s="158">
        <v>0</v>
      </c>
    </row>
    <row r="81" spans="1:10" x14ac:dyDescent="0.2">
      <c r="A81" s="133">
        <v>212</v>
      </c>
      <c r="B81" s="134" t="s">
        <v>9</v>
      </c>
      <c r="C81" s="134"/>
      <c r="D81" s="134"/>
      <c r="E81" s="135">
        <v>0</v>
      </c>
      <c r="F81" s="262"/>
      <c r="G81" s="262"/>
      <c r="H81" s="136">
        <v>0</v>
      </c>
      <c r="I81" s="158">
        <v>0</v>
      </c>
      <c r="J81" s="158">
        <v>0</v>
      </c>
    </row>
    <row r="82" spans="1:10" x14ac:dyDescent="0.2">
      <c r="A82" s="133">
        <v>216</v>
      </c>
      <c r="B82" s="134" t="s">
        <v>10</v>
      </c>
      <c r="C82" s="134"/>
      <c r="D82" s="134"/>
      <c r="E82" s="135">
        <v>57616.23</v>
      </c>
      <c r="F82" s="262"/>
      <c r="G82" s="262"/>
      <c r="H82" s="136">
        <v>0</v>
      </c>
      <c r="I82" s="158">
        <v>0</v>
      </c>
      <c r="J82" s="158">
        <v>0</v>
      </c>
    </row>
    <row r="83" spans="1:10" x14ac:dyDescent="0.2">
      <c r="A83" s="133">
        <v>218</v>
      </c>
      <c r="B83" s="134" t="s">
        <v>294</v>
      </c>
      <c r="C83" s="134"/>
      <c r="D83" s="134"/>
      <c r="E83" s="135">
        <v>10910.16</v>
      </c>
      <c r="F83" s="262"/>
      <c r="G83" s="262"/>
      <c r="H83" s="136">
        <v>0</v>
      </c>
      <c r="I83" s="158">
        <v>0</v>
      </c>
      <c r="J83" s="158">
        <v>0</v>
      </c>
    </row>
    <row r="84" spans="1:10" ht="15" customHeight="1" x14ac:dyDescent="0.2">
      <c r="A84" s="156" t="s">
        <v>295</v>
      </c>
      <c r="B84" s="156"/>
      <c r="C84" s="156"/>
      <c r="D84" s="156"/>
      <c r="E84" s="157">
        <f t="shared" ref="E84:J84" si="25">SUM(E80:E83)</f>
        <v>369973.70999999996</v>
      </c>
      <c r="F84" s="157">
        <f t="shared" si="25"/>
        <v>0</v>
      </c>
      <c r="G84" s="157">
        <f t="shared" si="25"/>
        <v>0</v>
      </c>
      <c r="H84" s="157">
        <f t="shared" si="25"/>
        <v>0</v>
      </c>
      <c r="I84" s="157">
        <f t="shared" si="25"/>
        <v>0</v>
      </c>
      <c r="J84" s="157">
        <f t="shared" si="25"/>
        <v>0</v>
      </c>
    </row>
    <row r="85" spans="1:10" ht="11.25" customHeight="1" x14ac:dyDescent="0.2">
      <c r="A85" s="156" t="s">
        <v>296</v>
      </c>
      <c r="B85" s="156"/>
      <c r="C85" s="156"/>
      <c r="D85" s="156"/>
      <c r="E85" s="156"/>
      <c r="F85" s="156"/>
      <c r="G85" s="156"/>
      <c r="H85" s="156"/>
      <c r="I85" s="156"/>
      <c r="J85" s="190"/>
    </row>
    <row r="86" spans="1:10" x14ac:dyDescent="0.2">
      <c r="A86" s="133">
        <v>222</v>
      </c>
      <c r="B86" s="134" t="s">
        <v>205</v>
      </c>
      <c r="C86" s="134"/>
      <c r="D86" s="134"/>
      <c r="E86" s="135">
        <v>33768.5</v>
      </c>
      <c r="F86" s="262"/>
      <c r="G86" s="262"/>
      <c r="H86" s="136"/>
      <c r="I86" s="158">
        <v>0</v>
      </c>
      <c r="J86" s="158">
        <v>0</v>
      </c>
    </row>
    <row r="87" spans="1:10" x14ac:dyDescent="0.2">
      <c r="A87" s="133">
        <v>226</v>
      </c>
      <c r="B87" s="134" t="s">
        <v>207</v>
      </c>
      <c r="C87" s="134"/>
      <c r="D87" s="134"/>
      <c r="E87" s="135">
        <v>8443.34</v>
      </c>
      <c r="F87" s="262"/>
      <c r="G87" s="262"/>
      <c r="H87" s="136"/>
      <c r="I87" s="158"/>
      <c r="J87" s="158"/>
    </row>
    <row r="88" spans="1:10" x14ac:dyDescent="0.2">
      <c r="A88" s="133">
        <v>228</v>
      </c>
      <c r="B88" s="134" t="s">
        <v>208</v>
      </c>
      <c r="C88" s="134"/>
      <c r="D88" s="134"/>
      <c r="E88" s="135">
        <v>7906.08</v>
      </c>
      <c r="F88" s="262"/>
      <c r="G88" s="262"/>
      <c r="H88" s="136"/>
      <c r="I88" s="158"/>
      <c r="J88" s="158"/>
    </row>
    <row r="89" spans="1:10" x14ac:dyDescent="0.2">
      <c r="A89" s="133">
        <v>229</v>
      </c>
      <c r="B89" s="134" t="s">
        <v>209</v>
      </c>
      <c r="C89" s="134"/>
      <c r="D89" s="134"/>
      <c r="E89" s="135">
        <v>249403.72</v>
      </c>
      <c r="F89" s="262"/>
      <c r="G89" s="262"/>
      <c r="H89" s="136"/>
      <c r="I89" s="158"/>
      <c r="J89" s="158"/>
    </row>
    <row r="90" spans="1:10" x14ac:dyDescent="0.2">
      <c r="A90" s="133">
        <v>232</v>
      </c>
      <c r="B90" s="134" t="s">
        <v>211</v>
      </c>
      <c r="C90" s="134"/>
      <c r="D90" s="134"/>
      <c r="E90" s="135">
        <v>2367.19</v>
      </c>
      <c r="F90" s="262"/>
      <c r="G90" s="262"/>
      <c r="H90" s="136"/>
      <c r="I90" s="158"/>
      <c r="J90" s="158"/>
    </row>
    <row r="91" spans="1:10" x14ac:dyDescent="0.2">
      <c r="A91" s="133">
        <v>236</v>
      </c>
      <c r="B91" s="134" t="s">
        <v>213</v>
      </c>
      <c r="C91" s="134"/>
      <c r="D91" s="134"/>
      <c r="E91" s="135">
        <v>91976</v>
      </c>
      <c r="F91" s="262"/>
      <c r="G91" s="262"/>
      <c r="H91" s="136"/>
      <c r="I91" s="158"/>
      <c r="J91" s="158"/>
    </row>
    <row r="92" spans="1:10" x14ac:dyDescent="0.2">
      <c r="A92" s="133">
        <v>246</v>
      </c>
      <c r="B92" s="134" t="s">
        <v>218</v>
      </c>
      <c r="C92" s="134"/>
      <c r="D92" s="134"/>
      <c r="E92" s="135">
        <v>595</v>
      </c>
      <c r="F92" s="262"/>
      <c r="G92" s="262"/>
      <c r="H92" s="136"/>
      <c r="I92" s="158"/>
      <c r="J92" s="158"/>
    </row>
    <row r="93" spans="1:10" x14ac:dyDescent="0.2">
      <c r="A93" s="133">
        <v>275</v>
      </c>
      <c r="B93" s="134" t="s">
        <v>228</v>
      </c>
      <c r="C93" s="134"/>
      <c r="D93" s="134"/>
      <c r="E93" s="135">
        <v>9241.99</v>
      </c>
      <c r="F93" s="262"/>
      <c r="G93" s="262"/>
      <c r="H93" s="136"/>
      <c r="I93" s="158"/>
      <c r="J93" s="158"/>
    </row>
    <row r="94" spans="1:10" x14ac:dyDescent="0.2">
      <c r="A94" s="133">
        <v>281</v>
      </c>
      <c r="B94" s="134" t="s">
        <v>234</v>
      </c>
      <c r="C94" s="134"/>
      <c r="D94" s="134"/>
      <c r="E94" s="135">
        <v>20000</v>
      </c>
      <c r="F94" s="262"/>
      <c r="G94" s="262"/>
      <c r="H94" s="136"/>
      <c r="I94" s="158"/>
      <c r="J94" s="158"/>
    </row>
    <row r="95" spans="1:10" x14ac:dyDescent="0.2">
      <c r="A95" s="156" t="s">
        <v>298</v>
      </c>
      <c r="B95" s="156"/>
      <c r="C95" s="156"/>
      <c r="D95" s="156"/>
      <c r="E95" s="157">
        <f t="shared" ref="E95:J95" si="26">SUM(E86:E94)</f>
        <v>423701.82</v>
      </c>
      <c r="F95" s="264">
        <f t="shared" si="26"/>
        <v>0</v>
      </c>
      <c r="G95" s="157">
        <f t="shared" si="26"/>
        <v>0</v>
      </c>
      <c r="H95" s="157">
        <f t="shared" si="26"/>
        <v>0</v>
      </c>
      <c r="I95" s="157">
        <f t="shared" si="26"/>
        <v>0</v>
      </c>
      <c r="J95" s="157">
        <f t="shared" si="26"/>
        <v>0</v>
      </c>
    </row>
    <row r="96" spans="1:10" x14ac:dyDescent="0.2">
      <c r="A96" s="159" t="s">
        <v>299</v>
      </c>
      <c r="B96" s="159"/>
      <c r="C96" s="159"/>
      <c r="D96" s="159"/>
      <c r="E96" s="160">
        <f t="shared" ref="E96:J96" si="27">SUM(E84,E95)</f>
        <v>793675.53</v>
      </c>
      <c r="F96" s="160">
        <f t="shared" si="27"/>
        <v>0</v>
      </c>
      <c r="G96" s="160">
        <f t="shared" si="27"/>
        <v>0</v>
      </c>
      <c r="H96" s="160">
        <f t="shared" si="27"/>
        <v>0</v>
      </c>
      <c r="I96" s="160">
        <f t="shared" si="27"/>
        <v>0</v>
      </c>
      <c r="J96" s="160">
        <f t="shared" si="27"/>
        <v>0</v>
      </c>
    </row>
    <row r="97" spans="1:10" ht="9.75" customHeight="1" x14ac:dyDescent="0.2">
      <c r="A97" s="129"/>
      <c r="B97" s="129"/>
      <c r="C97" s="129"/>
      <c r="D97" s="129"/>
      <c r="E97" s="129"/>
      <c r="F97" s="129"/>
      <c r="G97" s="129"/>
      <c r="H97" s="129"/>
      <c r="I97" s="129"/>
      <c r="J97" s="190"/>
    </row>
    <row r="98" spans="1:10" ht="15" customHeight="1" x14ac:dyDescent="0.2">
      <c r="A98" s="162" t="s">
        <v>15</v>
      </c>
      <c r="B98" s="162"/>
      <c r="C98" s="162"/>
      <c r="D98" s="162"/>
      <c r="E98" s="162"/>
      <c r="F98" s="162"/>
      <c r="G98" s="162"/>
      <c r="H98" s="162"/>
      <c r="I98" s="162"/>
      <c r="J98" s="162"/>
    </row>
    <row r="99" spans="1:10" ht="16.899999999999999" customHeight="1" x14ac:dyDescent="0.2">
      <c r="A99" s="131" t="s">
        <v>242</v>
      </c>
      <c r="B99" s="131"/>
      <c r="C99" s="131"/>
      <c r="D99" s="131"/>
      <c r="E99" s="128" t="str">
        <f t="shared" ref="E99:J99" si="28">E32</f>
        <v>Actuals           2014-2015</v>
      </c>
      <c r="F99" s="128" t="str">
        <f t="shared" si="28"/>
        <v>Approved Estimates          2015-2016</v>
      </c>
      <c r="G99" s="128" t="str">
        <f t="shared" si="28"/>
        <v>Revised Estimates                 2015-2016</v>
      </c>
      <c r="H99" s="128" t="str">
        <f t="shared" si="28"/>
        <v>Budget Estimates      2016-2017</v>
      </c>
      <c r="I99" s="128" t="str">
        <f t="shared" si="28"/>
        <v>Forward Estimates     2017-2018</v>
      </c>
      <c r="J99" s="128" t="str">
        <f t="shared" si="28"/>
        <v>Forward Estimates     2018-2019</v>
      </c>
    </row>
    <row r="100" spans="1:10" x14ac:dyDescent="0.2">
      <c r="A100" s="130" t="s">
        <v>243</v>
      </c>
      <c r="B100" s="130" t="s">
        <v>244</v>
      </c>
      <c r="C100" s="131" t="s">
        <v>245</v>
      </c>
      <c r="D100" s="131"/>
      <c r="E100" s="101"/>
      <c r="F100" s="101"/>
      <c r="G100" s="101"/>
      <c r="H100" s="101"/>
      <c r="I100" s="101"/>
      <c r="J100" s="101"/>
    </row>
    <row r="101" spans="1:10" x14ac:dyDescent="0.2">
      <c r="A101" s="335" t="s">
        <v>851</v>
      </c>
      <c r="B101" s="144" t="s">
        <v>633</v>
      </c>
      <c r="C101" s="334" t="s">
        <v>852</v>
      </c>
      <c r="D101" s="334"/>
      <c r="E101" s="158">
        <v>5255912</v>
      </c>
      <c r="F101" s="209"/>
      <c r="G101" s="158"/>
      <c r="H101" s="136">
        <v>0</v>
      </c>
      <c r="I101" s="158">
        <v>0</v>
      </c>
      <c r="J101" s="135">
        <v>0</v>
      </c>
    </row>
    <row r="102" spans="1:10" x14ac:dyDescent="0.2">
      <c r="A102" s="335" t="s">
        <v>855</v>
      </c>
      <c r="B102" s="144" t="s">
        <v>856</v>
      </c>
      <c r="C102" s="334" t="s">
        <v>981</v>
      </c>
      <c r="D102" s="334"/>
      <c r="E102" s="158">
        <v>323879.73</v>
      </c>
      <c r="F102" s="209"/>
      <c r="G102" s="158"/>
      <c r="H102" s="136">
        <v>0</v>
      </c>
      <c r="I102" s="158">
        <v>0</v>
      </c>
      <c r="J102" s="135">
        <v>0</v>
      </c>
    </row>
    <row r="103" spans="1:10" x14ac:dyDescent="0.2">
      <c r="A103" s="335" t="s">
        <v>858</v>
      </c>
      <c r="B103" s="144" t="s">
        <v>859</v>
      </c>
      <c r="C103" s="334" t="s">
        <v>860</v>
      </c>
      <c r="D103" s="334"/>
      <c r="E103" s="158">
        <v>168025.93</v>
      </c>
      <c r="F103" s="209"/>
      <c r="G103" s="158"/>
      <c r="H103" s="136">
        <v>0</v>
      </c>
      <c r="I103" s="158">
        <v>0</v>
      </c>
      <c r="J103" s="135">
        <v>0</v>
      </c>
    </row>
    <row r="104" spans="1:10" ht="15" customHeight="1" x14ac:dyDescent="0.2">
      <c r="A104" s="335" t="s">
        <v>861</v>
      </c>
      <c r="B104" s="144" t="s">
        <v>859</v>
      </c>
      <c r="C104" s="334" t="s">
        <v>862</v>
      </c>
      <c r="D104" s="334"/>
      <c r="E104" s="158">
        <v>20700</v>
      </c>
      <c r="F104" s="209"/>
      <c r="G104" s="158"/>
      <c r="H104" s="136">
        <v>0</v>
      </c>
      <c r="I104" s="158">
        <v>0</v>
      </c>
      <c r="J104" s="135">
        <v>0</v>
      </c>
    </row>
    <row r="105" spans="1:10" x14ac:dyDescent="0.2">
      <c r="A105" s="137" t="s">
        <v>15</v>
      </c>
      <c r="B105" s="137"/>
      <c r="C105" s="137"/>
      <c r="D105" s="137"/>
      <c r="E105" s="138">
        <f t="shared" ref="E105:J105" si="29">SUM(E101:E104)</f>
        <v>5768517.6600000001</v>
      </c>
      <c r="F105" s="138">
        <f t="shared" si="29"/>
        <v>0</v>
      </c>
      <c r="G105" s="138">
        <f t="shared" si="29"/>
        <v>0</v>
      </c>
      <c r="H105" s="138">
        <f t="shared" si="29"/>
        <v>0</v>
      </c>
      <c r="I105" s="138">
        <f t="shared" si="29"/>
        <v>0</v>
      </c>
      <c r="J105" s="138">
        <f t="shared" si="29"/>
        <v>0</v>
      </c>
    </row>
    <row r="106" spans="1:10" ht="15" customHeight="1" x14ac:dyDescent="0.2">
      <c r="A106" s="290"/>
      <c r="B106" s="290"/>
      <c r="C106" s="290"/>
      <c r="D106" s="290"/>
      <c r="E106" s="290"/>
      <c r="F106" s="290"/>
      <c r="G106" s="290"/>
      <c r="H106" s="290"/>
      <c r="I106" s="290"/>
      <c r="J106" s="290"/>
    </row>
    <row r="107" spans="1:10" x14ac:dyDescent="0.2">
      <c r="A107" s="161" t="s">
        <v>288</v>
      </c>
      <c r="B107" s="161"/>
      <c r="C107" s="161"/>
      <c r="D107" s="161"/>
      <c r="E107" s="161"/>
      <c r="F107" s="202"/>
      <c r="G107" s="202"/>
      <c r="H107" s="202"/>
      <c r="I107" s="202"/>
      <c r="J107" s="202"/>
    </row>
    <row r="108" spans="1:10" ht="15" customHeight="1" x14ac:dyDescent="0.2">
      <c r="A108" s="131" t="s">
        <v>300</v>
      </c>
      <c r="B108" s="131"/>
      <c r="C108" s="131"/>
      <c r="D108" s="132" t="s">
        <v>301</v>
      </c>
      <c r="E108" s="291" t="s">
        <v>302</v>
      </c>
      <c r="F108" s="292"/>
      <c r="G108" s="220"/>
      <c r="H108" s="220"/>
      <c r="I108" s="220"/>
      <c r="J108" s="221"/>
    </row>
    <row r="109" spans="1:10" ht="15" customHeight="1" x14ac:dyDescent="0.2">
      <c r="A109" s="134"/>
      <c r="B109" s="134"/>
      <c r="C109" s="134"/>
      <c r="D109" s="133"/>
      <c r="E109" s="268"/>
      <c r="F109" s="293"/>
      <c r="G109" s="171"/>
      <c r="H109" s="171"/>
      <c r="I109" s="171"/>
      <c r="J109" s="174"/>
    </row>
    <row r="110" spans="1:10" x14ac:dyDescent="0.2">
      <c r="A110" s="159" t="s">
        <v>303</v>
      </c>
      <c r="B110" s="159"/>
      <c r="C110" s="159"/>
      <c r="D110" s="159"/>
      <c r="E110" s="294">
        <f>SUM(E109:E109)</f>
        <v>0</v>
      </c>
      <c r="F110" s="295"/>
      <c r="G110" s="177"/>
      <c r="H110" s="177"/>
      <c r="I110" s="177"/>
      <c r="J110" s="178"/>
    </row>
    <row r="111" spans="1:10" ht="15" customHeight="1" x14ac:dyDescent="0.2">
      <c r="A111" s="129"/>
      <c r="B111" s="129"/>
      <c r="C111" s="129"/>
      <c r="D111" s="129"/>
      <c r="E111" s="129"/>
      <c r="F111" s="179"/>
      <c r="G111" s="179"/>
      <c r="H111" s="179"/>
      <c r="I111" s="179"/>
      <c r="J111" s="179"/>
    </row>
    <row r="112" spans="1:10" x14ac:dyDescent="0.2">
      <c r="A112" s="180" t="s">
        <v>304</v>
      </c>
      <c r="B112" s="180"/>
      <c r="C112" s="180"/>
      <c r="D112" s="180"/>
      <c r="E112" s="180"/>
      <c r="F112" s="180"/>
      <c r="G112" s="180"/>
      <c r="H112" s="180"/>
      <c r="I112" s="180"/>
      <c r="J112" s="180"/>
    </row>
    <row r="113" spans="1:10" x14ac:dyDescent="0.2">
      <c r="A113" s="181" t="s">
        <v>305</v>
      </c>
      <c r="B113" s="181"/>
      <c r="C113" s="181"/>
      <c r="D113" s="181"/>
      <c r="E113" s="181"/>
      <c r="F113" s="181"/>
      <c r="G113" s="181"/>
      <c r="H113" s="181"/>
      <c r="I113" s="181"/>
      <c r="J113" s="181"/>
    </row>
    <row r="114" spans="1:10" x14ac:dyDescent="0.2">
      <c r="A114" s="129" t="s">
        <v>982</v>
      </c>
      <c r="B114" s="129"/>
      <c r="C114" s="129"/>
      <c r="D114" s="129"/>
      <c r="E114" s="129"/>
      <c r="F114" s="129"/>
      <c r="G114" s="129"/>
      <c r="H114" s="129"/>
      <c r="I114" s="129"/>
      <c r="J114" s="129"/>
    </row>
    <row r="115" spans="1:10" x14ac:dyDescent="0.2">
      <c r="A115" s="129"/>
      <c r="B115" s="129"/>
      <c r="C115" s="129"/>
      <c r="D115" s="129"/>
      <c r="E115" s="129"/>
      <c r="F115" s="129"/>
      <c r="G115" s="129"/>
      <c r="H115" s="129"/>
      <c r="I115" s="129"/>
      <c r="J115" s="129"/>
    </row>
    <row r="116" spans="1:10" x14ac:dyDescent="0.2">
      <c r="A116" s="183" t="s">
        <v>415</v>
      </c>
      <c r="B116" s="183"/>
      <c r="C116" s="183"/>
      <c r="D116" s="183"/>
      <c r="E116" s="183"/>
      <c r="F116" s="183"/>
      <c r="G116" s="183"/>
      <c r="H116" s="183"/>
      <c r="I116" s="183"/>
      <c r="J116" s="183"/>
    </row>
    <row r="117" spans="1:10" x14ac:dyDescent="0.2">
      <c r="A117" s="129"/>
      <c r="B117" s="129"/>
      <c r="C117" s="129"/>
      <c r="D117" s="129"/>
      <c r="E117" s="129"/>
      <c r="F117" s="129"/>
      <c r="G117" s="129"/>
      <c r="H117" s="129"/>
      <c r="I117" s="129"/>
      <c r="J117" s="129"/>
    </row>
    <row r="118" spans="1:10" x14ac:dyDescent="0.2">
      <c r="A118" s="129"/>
      <c r="B118" s="129"/>
      <c r="C118" s="129"/>
      <c r="D118" s="129"/>
      <c r="E118" s="129"/>
      <c r="F118" s="129"/>
      <c r="G118" s="129"/>
      <c r="H118" s="129"/>
      <c r="I118" s="129"/>
      <c r="J118" s="129"/>
    </row>
    <row r="119" spans="1:10" x14ac:dyDescent="0.2">
      <c r="A119" s="129"/>
      <c r="B119" s="129"/>
      <c r="C119" s="129"/>
      <c r="D119" s="129"/>
      <c r="E119" s="129"/>
      <c r="F119" s="129"/>
      <c r="G119" s="129"/>
      <c r="H119" s="129"/>
      <c r="I119" s="129"/>
      <c r="J119" s="129"/>
    </row>
    <row r="120" spans="1:10" x14ac:dyDescent="0.2">
      <c r="A120" s="129"/>
      <c r="B120" s="129"/>
      <c r="C120" s="129"/>
      <c r="D120" s="129"/>
      <c r="E120" s="129"/>
      <c r="F120" s="129"/>
      <c r="G120" s="129"/>
      <c r="H120" s="129"/>
      <c r="I120" s="129"/>
      <c r="J120" s="129"/>
    </row>
    <row r="121" spans="1:10" ht="22.5" customHeight="1" x14ac:dyDescent="0.2">
      <c r="A121" s="180" t="s">
        <v>315</v>
      </c>
      <c r="B121" s="180"/>
      <c r="C121" s="180"/>
      <c r="D121" s="180"/>
      <c r="E121" s="180"/>
      <c r="F121" s="184" t="s">
        <v>2995</v>
      </c>
      <c r="G121" s="184" t="s">
        <v>2996</v>
      </c>
      <c r="H121" s="184" t="s">
        <v>2997</v>
      </c>
      <c r="I121" s="184" t="s">
        <v>2998</v>
      </c>
      <c r="J121" s="184" t="s">
        <v>2999</v>
      </c>
    </row>
    <row r="122" spans="1:10" s="408" customFormat="1" ht="12.75" x14ac:dyDescent="0.2">
      <c r="A122" s="180" t="s">
        <v>316</v>
      </c>
      <c r="B122" s="180"/>
      <c r="C122" s="180"/>
      <c r="D122" s="180"/>
      <c r="E122" s="180"/>
      <c r="F122" s="180"/>
      <c r="G122" s="180"/>
      <c r="H122" s="180"/>
      <c r="I122" s="180"/>
      <c r="J122" s="180"/>
    </row>
    <row r="123" spans="1:10" s="408" customFormat="1" ht="12.75" x14ac:dyDescent="0.2">
      <c r="A123" s="369" t="s">
        <v>983</v>
      </c>
      <c r="B123" s="369"/>
      <c r="C123" s="369"/>
      <c r="D123" s="369"/>
      <c r="E123" s="369"/>
      <c r="F123" s="361"/>
      <c r="G123" s="362"/>
      <c r="H123" s="362"/>
      <c r="I123" s="362"/>
      <c r="J123" s="362"/>
    </row>
    <row r="124" spans="1:10" s="408" customFormat="1" ht="12.75" x14ac:dyDescent="0.2">
      <c r="A124" s="369" t="s">
        <v>984</v>
      </c>
      <c r="B124" s="369"/>
      <c r="C124" s="369"/>
      <c r="D124" s="369"/>
      <c r="E124" s="369"/>
      <c r="F124" s="361"/>
      <c r="G124" s="362"/>
      <c r="H124" s="362"/>
      <c r="I124" s="362"/>
      <c r="J124" s="362"/>
    </row>
    <row r="125" spans="1:10" x14ac:dyDescent="0.2">
      <c r="A125" s="369" t="s">
        <v>985</v>
      </c>
      <c r="B125" s="369"/>
      <c r="C125" s="369"/>
      <c r="D125" s="369"/>
      <c r="E125" s="369"/>
      <c r="F125" s="361"/>
      <c r="G125" s="362"/>
      <c r="H125" s="362"/>
      <c r="I125" s="362"/>
      <c r="J125" s="362"/>
    </row>
    <row r="126" spans="1:10" x14ac:dyDescent="0.2">
      <c r="A126" s="188"/>
      <c r="B126" s="188"/>
      <c r="C126" s="188"/>
      <c r="D126" s="188"/>
      <c r="E126" s="188"/>
      <c r="F126" s="273"/>
      <c r="G126" s="190"/>
      <c r="H126" s="190"/>
      <c r="I126" s="190"/>
      <c r="J126" s="190"/>
    </row>
    <row r="127" spans="1:10" s="408" customFormat="1" ht="24" customHeight="1" x14ac:dyDescent="0.2">
      <c r="A127" s="180" t="s">
        <v>324</v>
      </c>
      <c r="B127" s="180"/>
      <c r="C127" s="180"/>
      <c r="D127" s="180"/>
      <c r="E127" s="180"/>
      <c r="F127" s="180"/>
      <c r="G127" s="180"/>
      <c r="H127" s="180"/>
      <c r="I127" s="180"/>
      <c r="J127" s="180"/>
    </row>
    <row r="128" spans="1:10" s="408" customFormat="1" ht="15" customHeight="1" x14ac:dyDescent="0.2">
      <c r="A128" s="369" t="s">
        <v>986</v>
      </c>
      <c r="B128" s="369"/>
      <c r="C128" s="369"/>
      <c r="D128" s="369"/>
      <c r="E128" s="369"/>
      <c r="F128" s="361"/>
      <c r="G128" s="362"/>
      <c r="H128" s="362"/>
      <c r="I128" s="362"/>
      <c r="J128" s="362"/>
    </row>
    <row r="129" spans="1:10" x14ac:dyDescent="0.2">
      <c r="A129" s="369" t="s">
        <v>987</v>
      </c>
      <c r="B129" s="369"/>
      <c r="C129" s="369"/>
      <c r="D129" s="369"/>
      <c r="E129" s="369"/>
      <c r="F129" s="361"/>
      <c r="G129" s="362"/>
      <c r="H129" s="362"/>
      <c r="I129" s="362"/>
      <c r="J129" s="362"/>
    </row>
    <row r="130" spans="1:10" x14ac:dyDescent="0.2">
      <c r="A130" s="129"/>
      <c r="B130" s="129"/>
      <c r="C130" s="129"/>
      <c r="D130" s="129"/>
      <c r="E130" s="129"/>
      <c r="F130" s="129"/>
      <c r="G130" s="129"/>
      <c r="H130" s="129"/>
      <c r="I130" s="129"/>
      <c r="J130" s="129"/>
    </row>
    <row r="131" spans="1:10" x14ac:dyDescent="0.2">
      <c r="A131" s="150" t="s">
        <v>988</v>
      </c>
      <c r="B131" s="150"/>
      <c r="C131" s="150"/>
      <c r="D131" s="150"/>
      <c r="E131" s="150"/>
      <c r="F131" s="150"/>
      <c r="G131" s="150"/>
      <c r="H131" s="150"/>
      <c r="I131" s="150"/>
      <c r="J131" s="150"/>
    </row>
    <row r="132" spans="1:10" ht="15" customHeight="1" x14ac:dyDescent="0.2">
      <c r="A132" s="389" t="s">
        <v>291</v>
      </c>
      <c r="B132" s="389"/>
      <c r="C132" s="389"/>
      <c r="D132" s="389"/>
      <c r="E132" s="389"/>
      <c r="F132" s="389"/>
      <c r="G132" s="389"/>
      <c r="H132" s="389"/>
      <c r="I132" s="389"/>
      <c r="J132" s="389"/>
    </row>
    <row r="133" spans="1:10" ht="15" hidden="1" customHeight="1" x14ac:dyDescent="0.2">
      <c r="A133" s="129" t="s">
        <v>931</v>
      </c>
      <c r="B133" s="129"/>
      <c r="C133" s="129"/>
      <c r="D133" s="129"/>
      <c r="E133" s="129"/>
      <c r="F133" s="129"/>
      <c r="G133" s="129"/>
      <c r="H133" s="129"/>
      <c r="I133" s="129"/>
      <c r="J133" s="129"/>
    </row>
    <row r="134" spans="1:10" hidden="1" x14ac:dyDescent="0.2">
      <c r="A134" s="128" t="s">
        <v>293</v>
      </c>
      <c r="B134" s="128"/>
      <c r="C134" s="128"/>
      <c r="D134" s="128"/>
      <c r="E134" s="128"/>
      <c r="F134" s="128"/>
      <c r="G134" s="128"/>
      <c r="H134" s="128"/>
      <c r="I134" s="128"/>
      <c r="J134" s="128"/>
    </row>
    <row r="135" spans="1:10" ht="15" hidden="1" customHeight="1" x14ac:dyDescent="0.2">
      <c r="A135" s="152" t="s">
        <v>243</v>
      </c>
      <c r="B135" s="151" t="s">
        <v>242</v>
      </c>
      <c r="C135" s="151"/>
      <c r="D135" s="151"/>
      <c r="E135" s="132" t="s">
        <v>793</v>
      </c>
      <c r="F135" s="132" t="s">
        <v>794</v>
      </c>
      <c r="G135" s="132" t="s">
        <v>795</v>
      </c>
      <c r="H135" s="132" t="s">
        <v>796</v>
      </c>
      <c r="I135" s="132" t="s">
        <v>797</v>
      </c>
      <c r="J135" s="132" t="s">
        <v>798</v>
      </c>
    </row>
    <row r="136" spans="1:10" ht="15" hidden="1" customHeight="1" x14ac:dyDescent="0.2">
      <c r="A136" s="133"/>
      <c r="B136" s="134"/>
      <c r="C136" s="134"/>
      <c r="D136" s="134"/>
      <c r="E136" s="135"/>
      <c r="F136" s="262"/>
      <c r="G136" s="135"/>
      <c r="H136" s="136"/>
      <c r="I136" s="158"/>
      <c r="J136" s="158"/>
    </row>
    <row r="137" spans="1:10" ht="15" customHeight="1" x14ac:dyDescent="0.2">
      <c r="A137" s="137" t="s">
        <v>889</v>
      </c>
      <c r="B137" s="137"/>
      <c r="C137" s="137"/>
      <c r="D137" s="137"/>
      <c r="E137" s="138">
        <f t="shared" ref="E137:J137" si="30">SUM(E136:E136)</f>
        <v>0</v>
      </c>
      <c r="F137" s="138">
        <f t="shared" si="30"/>
        <v>0</v>
      </c>
      <c r="G137" s="138">
        <f t="shared" si="30"/>
        <v>0</v>
      </c>
      <c r="H137" s="138">
        <f t="shared" si="30"/>
        <v>0</v>
      </c>
      <c r="I137" s="138">
        <f t="shared" si="30"/>
        <v>0</v>
      </c>
      <c r="J137" s="138">
        <f t="shared" si="30"/>
        <v>0</v>
      </c>
    </row>
    <row r="138" spans="1:10" ht="15" customHeight="1" x14ac:dyDescent="0.2">
      <c r="A138" s="129"/>
      <c r="B138" s="129"/>
      <c r="C138" s="129"/>
      <c r="D138" s="129"/>
      <c r="E138" s="129"/>
      <c r="F138" s="129"/>
      <c r="G138" s="129"/>
      <c r="H138" s="129"/>
      <c r="I138" s="129"/>
      <c r="J138" s="129"/>
    </row>
    <row r="139" spans="1:10" x14ac:dyDescent="0.2">
      <c r="A139" s="128" t="s">
        <v>284</v>
      </c>
      <c r="B139" s="128"/>
      <c r="C139" s="128"/>
      <c r="D139" s="128"/>
      <c r="E139" s="128"/>
      <c r="F139" s="128"/>
      <c r="G139" s="128"/>
      <c r="H139" s="128"/>
      <c r="I139" s="128"/>
      <c r="J139" s="128"/>
    </row>
    <row r="140" spans="1:10" ht="33.75" x14ac:dyDescent="0.2">
      <c r="A140" s="152" t="s">
        <v>243</v>
      </c>
      <c r="B140" s="151" t="s">
        <v>242</v>
      </c>
      <c r="C140" s="151"/>
      <c r="D140" s="151"/>
      <c r="E140" s="132" t="str">
        <f t="shared" ref="E140:J140" si="31">E32</f>
        <v>Actuals           2014-2015</v>
      </c>
      <c r="F140" s="132" t="str">
        <f t="shared" si="31"/>
        <v>Approved Estimates          2015-2016</v>
      </c>
      <c r="G140" s="132" t="str">
        <f t="shared" si="31"/>
        <v>Revised Estimates                 2015-2016</v>
      </c>
      <c r="H140" s="132" t="str">
        <f t="shared" si="31"/>
        <v>Budget Estimates      2016-2017</v>
      </c>
      <c r="I140" s="132" t="str">
        <f t="shared" si="31"/>
        <v>Forward Estimates     2017-2018</v>
      </c>
      <c r="J140" s="132" t="str">
        <f t="shared" si="31"/>
        <v>Forward Estimates     2018-2019</v>
      </c>
    </row>
    <row r="141" spans="1:10" ht="15" customHeight="1" x14ac:dyDescent="0.2">
      <c r="A141" s="151" t="s">
        <v>7</v>
      </c>
      <c r="B141" s="151"/>
      <c r="C141" s="151"/>
      <c r="D141" s="151"/>
      <c r="E141" s="151"/>
      <c r="F141" s="151"/>
      <c r="G141" s="151"/>
      <c r="H141" s="151"/>
      <c r="I141" s="151"/>
      <c r="J141" s="190"/>
    </row>
    <row r="142" spans="1:10" x14ac:dyDescent="0.2">
      <c r="A142" s="133">
        <v>210</v>
      </c>
      <c r="B142" s="134" t="s">
        <v>7</v>
      </c>
      <c r="C142" s="134"/>
      <c r="D142" s="134"/>
      <c r="E142" s="135">
        <v>192516</v>
      </c>
      <c r="F142" s="262"/>
      <c r="G142" s="262"/>
      <c r="H142" s="136">
        <v>0</v>
      </c>
      <c r="I142" s="158">
        <v>0</v>
      </c>
      <c r="J142" s="158">
        <v>0</v>
      </c>
    </row>
    <row r="143" spans="1:10" x14ac:dyDescent="0.2">
      <c r="A143" s="133">
        <v>212</v>
      </c>
      <c r="B143" s="134" t="s">
        <v>9</v>
      </c>
      <c r="C143" s="134"/>
      <c r="D143" s="134"/>
      <c r="E143" s="135">
        <v>0</v>
      </c>
      <c r="F143" s="262"/>
      <c r="G143" s="262"/>
      <c r="H143" s="136">
        <v>0</v>
      </c>
      <c r="I143" s="158">
        <v>0</v>
      </c>
      <c r="J143" s="158">
        <v>0</v>
      </c>
    </row>
    <row r="144" spans="1:10" x14ac:dyDescent="0.2">
      <c r="A144" s="133">
        <v>216</v>
      </c>
      <c r="B144" s="134" t="s">
        <v>10</v>
      </c>
      <c r="C144" s="134"/>
      <c r="D144" s="134"/>
      <c r="E144" s="135">
        <v>42091.03</v>
      </c>
      <c r="F144" s="262"/>
      <c r="G144" s="262"/>
      <c r="H144" s="136">
        <v>0</v>
      </c>
      <c r="I144" s="158">
        <v>0</v>
      </c>
      <c r="J144" s="158">
        <v>0</v>
      </c>
    </row>
    <row r="145" spans="1:10" x14ac:dyDescent="0.2">
      <c r="A145" s="133">
        <v>218</v>
      </c>
      <c r="B145" s="134" t="s">
        <v>294</v>
      </c>
      <c r="C145" s="134"/>
      <c r="D145" s="134"/>
      <c r="E145" s="135">
        <v>0</v>
      </c>
      <c r="F145" s="262"/>
      <c r="G145" s="262"/>
      <c r="H145" s="136">
        <v>0</v>
      </c>
      <c r="I145" s="158">
        <v>0</v>
      </c>
      <c r="J145" s="158">
        <v>0</v>
      </c>
    </row>
    <row r="146" spans="1:10" ht="15" customHeight="1" x14ac:dyDescent="0.2">
      <c r="A146" s="156" t="s">
        <v>295</v>
      </c>
      <c r="B146" s="156"/>
      <c r="C146" s="156"/>
      <c r="D146" s="156"/>
      <c r="E146" s="157">
        <f t="shared" ref="E146:J146" si="32">SUM(E142:E145)</f>
        <v>234607.03</v>
      </c>
      <c r="F146" s="157">
        <f t="shared" si="32"/>
        <v>0</v>
      </c>
      <c r="G146" s="157">
        <f t="shared" si="32"/>
        <v>0</v>
      </c>
      <c r="H146" s="157">
        <f t="shared" si="32"/>
        <v>0</v>
      </c>
      <c r="I146" s="157">
        <f t="shared" si="32"/>
        <v>0</v>
      </c>
      <c r="J146" s="157">
        <f t="shared" si="32"/>
        <v>0</v>
      </c>
    </row>
    <row r="147" spans="1:10" x14ac:dyDescent="0.2">
      <c r="A147" s="156" t="s">
        <v>296</v>
      </c>
      <c r="B147" s="156"/>
      <c r="C147" s="156"/>
      <c r="D147" s="156"/>
      <c r="E147" s="156"/>
      <c r="F147" s="156"/>
      <c r="G147" s="156"/>
      <c r="H147" s="156"/>
      <c r="I147" s="156"/>
      <c r="J147" s="190"/>
    </row>
    <row r="148" spans="1:10" x14ac:dyDescent="0.2">
      <c r="A148" s="133">
        <v>228</v>
      </c>
      <c r="B148" s="134" t="s">
        <v>208</v>
      </c>
      <c r="C148" s="134"/>
      <c r="D148" s="134"/>
      <c r="E148" s="135">
        <v>2997.55</v>
      </c>
      <c r="F148" s="262"/>
      <c r="G148" s="262"/>
      <c r="H148" s="136">
        <v>0</v>
      </c>
      <c r="I148" s="158">
        <v>0</v>
      </c>
      <c r="J148" s="158">
        <v>0</v>
      </c>
    </row>
    <row r="149" spans="1:10" x14ac:dyDescent="0.2">
      <c r="A149" s="133">
        <v>236</v>
      </c>
      <c r="B149" s="134" t="s">
        <v>213</v>
      </c>
      <c r="C149" s="134"/>
      <c r="D149" s="134"/>
      <c r="E149" s="135">
        <v>0</v>
      </c>
      <c r="F149" s="262"/>
      <c r="G149" s="262"/>
      <c r="H149" s="136">
        <v>0</v>
      </c>
      <c r="I149" s="158">
        <v>0</v>
      </c>
      <c r="J149" s="158">
        <v>0</v>
      </c>
    </row>
    <row r="150" spans="1:10" x14ac:dyDescent="0.2">
      <c r="A150" s="133">
        <v>246</v>
      </c>
      <c r="B150" s="134" t="s">
        <v>218</v>
      </c>
      <c r="C150" s="134"/>
      <c r="D150" s="134"/>
      <c r="E150" s="135">
        <v>0</v>
      </c>
      <c r="F150" s="262"/>
      <c r="G150" s="262"/>
      <c r="H150" s="136">
        <v>0</v>
      </c>
      <c r="I150" s="158">
        <v>0</v>
      </c>
      <c r="J150" s="158">
        <v>0</v>
      </c>
    </row>
    <row r="151" spans="1:10" x14ac:dyDescent="0.2">
      <c r="A151" s="133">
        <v>275</v>
      </c>
      <c r="B151" s="134" t="s">
        <v>228</v>
      </c>
      <c r="C151" s="134"/>
      <c r="D151" s="134"/>
      <c r="E151" s="135">
        <v>195</v>
      </c>
      <c r="F151" s="262"/>
      <c r="G151" s="262"/>
      <c r="H151" s="136">
        <v>0</v>
      </c>
      <c r="I151" s="158">
        <v>0</v>
      </c>
      <c r="J151" s="158">
        <v>0</v>
      </c>
    </row>
    <row r="152" spans="1:10" x14ac:dyDescent="0.2">
      <c r="A152" s="156" t="s">
        <v>298</v>
      </c>
      <c r="B152" s="156"/>
      <c r="C152" s="156"/>
      <c r="D152" s="156"/>
      <c r="E152" s="157">
        <f t="shared" ref="E152:J152" si="33">SUM(E148:E151)</f>
        <v>3192.55</v>
      </c>
      <c r="F152" s="264">
        <f t="shared" si="33"/>
        <v>0</v>
      </c>
      <c r="G152" s="157">
        <f t="shared" si="33"/>
        <v>0</v>
      </c>
      <c r="H152" s="157">
        <f t="shared" si="33"/>
        <v>0</v>
      </c>
      <c r="I152" s="157">
        <f t="shared" si="33"/>
        <v>0</v>
      </c>
      <c r="J152" s="157">
        <f t="shared" si="33"/>
        <v>0</v>
      </c>
    </row>
    <row r="153" spans="1:10" x14ac:dyDescent="0.2">
      <c r="A153" s="159" t="s">
        <v>299</v>
      </c>
      <c r="B153" s="159"/>
      <c r="C153" s="159"/>
      <c r="D153" s="159"/>
      <c r="E153" s="160">
        <f t="shared" ref="E153:J153" si="34">SUM(E146,E152)</f>
        <v>237799.58</v>
      </c>
      <c r="F153" s="160">
        <f t="shared" si="34"/>
        <v>0</v>
      </c>
      <c r="G153" s="160">
        <f t="shared" si="34"/>
        <v>0</v>
      </c>
      <c r="H153" s="160">
        <f t="shared" si="34"/>
        <v>0</v>
      </c>
      <c r="I153" s="160">
        <f t="shared" si="34"/>
        <v>0</v>
      </c>
      <c r="J153" s="160">
        <f t="shared" si="34"/>
        <v>0</v>
      </c>
    </row>
    <row r="154" spans="1:10" ht="15" customHeight="1" x14ac:dyDescent="0.2">
      <c r="A154" s="129"/>
      <c r="B154" s="129"/>
      <c r="C154" s="129"/>
      <c r="D154" s="129"/>
      <c r="E154" s="129"/>
      <c r="F154" s="129"/>
      <c r="G154" s="129"/>
      <c r="H154" s="129"/>
      <c r="I154" s="129"/>
      <c r="J154" s="190"/>
    </row>
    <row r="155" spans="1:10" x14ac:dyDescent="0.2">
      <c r="A155" s="162" t="s">
        <v>15</v>
      </c>
      <c r="B155" s="162"/>
      <c r="C155" s="162"/>
      <c r="D155" s="162"/>
      <c r="E155" s="162"/>
      <c r="F155" s="162"/>
      <c r="G155" s="162"/>
      <c r="H155" s="162"/>
      <c r="I155" s="162"/>
      <c r="J155" s="162"/>
    </row>
    <row r="156" spans="1:10" ht="18" customHeight="1" x14ac:dyDescent="0.2">
      <c r="A156" s="131" t="s">
        <v>242</v>
      </c>
      <c r="B156" s="131"/>
      <c r="C156" s="131"/>
      <c r="D156" s="131"/>
      <c r="E156" s="128" t="str">
        <f t="shared" ref="E156:J156" si="35">E32</f>
        <v>Actuals           2014-2015</v>
      </c>
      <c r="F156" s="128" t="str">
        <f t="shared" si="35"/>
        <v>Approved Estimates          2015-2016</v>
      </c>
      <c r="G156" s="128" t="str">
        <f t="shared" si="35"/>
        <v>Revised Estimates                 2015-2016</v>
      </c>
      <c r="H156" s="128" t="str">
        <f t="shared" si="35"/>
        <v>Budget Estimates      2016-2017</v>
      </c>
      <c r="I156" s="128" t="str">
        <f t="shared" si="35"/>
        <v>Forward Estimates     2017-2018</v>
      </c>
      <c r="J156" s="128" t="str">
        <f t="shared" si="35"/>
        <v>Forward Estimates     2018-2019</v>
      </c>
    </row>
    <row r="157" spans="1:10" x14ac:dyDescent="0.2">
      <c r="A157" s="130" t="s">
        <v>243</v>
      </c>
      <c r="B157" s="130" t="s">
        <v>244</v>
      </c>
      <c r="C157" s="131" t="s">
        <v>245</v>
      </c>
      <c r="D157" s="131"/>
      <c r="E157" s="101"/>
      <c r="F157" s="101"/>
      <c r="G157" s="101"/>
      <c r="H157" s="101"/>
      <c r="I157" s="101"/>
      <c r="J157" s="101"/>
    </row>
    <row r="158" spans="1:10" ht="15" customHeight="1" x14ac:dyDescent="0.2">
      <c r="A158" s="163"/>
      <c r="B158" s="163"/>
      <c r="C158" s="156"/>
      <c r="D158" s="156"/>
      <c r="E158" s="158"/>
      <c r="F158" s="209"/>
      <c r="G158" s="158"/>
      <c r="H158" s="136"/>
      <c r="I158" s="158"/>
      <c r="J158" s="135"/>
    </row>
    <row r="159" spans="1:10" x14ac:dyDescent="0.2">
      <c r="A159" s="163"/>
      <c r="B159" s="163"/>
      <c r="C159" s="156"/>
      <c r="D159" s="156"/>
      <c r="E159" s="158"/>
      <c r="F159" s="209"/>
      <c r="G159" s="158"/>
      <c r="H159" s="136"/>
      <c r="I159" s="158"/>
      <c r="J159" s="135"/>
    </row>
    <row r="160" spans="1:10" ht="15" customHeight="1" x14ac:dyDescent="0.2">
      <c r="A160" s="137" t="s">
        <v>15</v>
      </c>
      <c r="B160" s="137"/>
      <c r="C160" s="137"/>
      <c r="D160" s="137"/>
      <c r="E160" s="138">
        <v>0</v>
      </c>
      <c r="F160" s="138">
        <v>0</v>
      </c>
      <c r="G160" s="138">
        <v>0</v>
      </c>
      <c r="H160" s="138">
        <v>0</v>
      </c>
      <c r="I160" s="138">
        <v>0</v>
      </c>
      <c r="J160" s="138">
        <v>0</v>
      </c>
    </row>
    <row r="161" spans="1:10" x14ac:dyDescent="0.2">
      <c r="A161" s="290"/>
      <c r="B161" s="290"/>
      <c r="C161" s="290"/>
      <c r="D161" s="290"/>
      <c r="E161" s="290"/>
      <c r="F161" s="290"/>
      <c r="G161" s="290"/>
      <c r="H161" s="290"/>
      <c r="I161" s="290"/>
      <c r="J161" s="290"/>
    </row>
    <row r="162" spans="1:10" ht="14.25" customHeight="1" x14ac:dyDescent="0.2">
      <c r="A162" s="161" t="s">
        <v>288</v>
      </c>
      <c r="B162" s="161"/>
      <c r="C162" s="161"/>
      <c r="D162" s="161"/>
      <c r="E162" s="161"/>
      <c r="F162" s="202"/>
      <c r="G162" s="202"/>
      <c r="H162" s="202"/>
      <c r="I162" s="202"/>
      <c r="J162" s="202"/>
    </row>
    <row r="163" spans="1:10" ht="14.25" customHeight="1" x14ac:dyDescent="0.2">
      <c r="A163" s="131" t="s">
        <v>300</v>
      </c>
      <c r="B163" s="131"/>
      <c r="C163" s="131"/>
      <c r="D163" s="132" t="s">
        <v>301</v>
      </c>
      <c r="E163" s="291" t="s">
        <v>302</v>
      </c>
      <c r="F163" s="292"/>
      <c r="G163" s="220"/>
      <c r="H163" s="220"/>
      <c r="I163" s="220"/>
      <c r="J163" s="221"/>
    </row>
    <row r="164" spans="1:10" x14ac:dyDescent="0.2">
      <c r="A164" s="134"/>
      <c r="B164" s="134"/>
      <c r="C164" s="134"/>
      <c r="D164" s="133"/>
      <c r="E164" s="268"/>
      <c r="F164" s="293"/>
      <c r="G164" s="171"/>
      <c r="H164" s="171"/>
      <c r="I164" s="171"/>
      <c r="J164" s="174"/>
    </row>
    <row r="165" spans="1:10" ht="14.25" customHeight="1" x14ac:dyDescent="0.2">
      <c r="A165" s="159" t="s">
        <v>303</v>
      </c>
      <c r="B165" s="159"/>
      <c r="C165" s="159"/>
      <c r="D165" s="159"/>
      <c r="E165" s="294">
        <f>SUM(E164:E164)</f>
        <v>0</v>
      </c>
      <c r="F165" s="295"/>
      <c r="G165" s="177"/>
      <c r="H165" s="177"/>
      <c r="I165" s="177"/>
      <c r="J165" s="178"/>
    </row>
    <row r="166" spans="1:10" x14ac:dyDescent="0.2">
      <c r="A166" s="161"/>
      <c r="B166" s="161"/>
      <c r="C166" s="161"/>
      <c r="D166" s="161"/>
      <c r="E166" s="161"/>
      <c r="F166" s="202"/>
      <c r="G166" s="202"/>
      <c r="H166" s="202"/>
      <c r="I166" s="202"/>
      <c r="J166" s="202"/>
    </row>
    <row r="167" spans="1:10" x14ac:dyDescent="0.2">
      <c r="A167" s="180" t="s">
        <v>304</v>
      </c>
      <c r="B167" s="180"/>
      <c r="C167" s="180"/>
      <c r="D167" s="180"/>
      <c r="E167" s="180"/>
      <c r="F167" s="180"/>
      <c r="G167" s="180"/>
      <c r="H167" s="180"/>
      <c r="I167" s="180"/>
      <c r="J167" s="180"/>
    </row>
    <row r="168" spans="1:10" x14ac:dyDescent="0.2">
      <c r="A168" s="181" t="s">
        <v>305</v>
      </c>
      <c r="B168" s="181"/>
      <c r="C168" s="181"/>
      <c r="D168" s="181"/>
      <c r="E168" s="181"/>
      <c r="F168" s="181"/>
      <c r="G168" s="181"/>
      <c r="H168" s="181"/>
      <c r="I168" s="181"/>
      <c r="J168" s="181"/>
    </row>
    <row r="169" spans="1:10" x14ac:dyDescent="0.2">
      <c r="A169" s="296" t="s">
        <v>989</v>
      </c>
      <c r="B169" s="296"/>
      <c r="C169" s="296"/>
      <c r="D169" s="296"/>
      <c r="E169" s="296"/>
      <c r="F169" s="296"/>
      <c r="G169" s="296"/>
      <c r="H169" s="296"/>
      <c r="I169" s="296"/>
      <c r="J169" s="296"/>
    </row>
    <row r="170" spans="1:10" x14ac:dyDescent="0.2">
      <c r="A170" s="296" t="s">
        <v>990</v>
      </c>
      <c r="B170" s="296"/>
      <c r="C170" s="296"/>
      <c r="D170" s="296"/>
      <c r="E170" s="296"/>
      <c r="F170" s="296"/>
      <c r="G170" s="296"/>
      <c r="H170" s="296"/>
      <c r="I170" s="296"/>
      <c r="J170" s="296"/>
    </row>
    <row r="171" spans="1:10" x14ac:dyDescent="0.2">
      <c r="A171" s="129"/>
      <c r="B171" s="129"/>
      <c r="C171" s="129"/>
      <c r="D171" s="129"/>
      <c r="E171" s="129"/>
      <c r="F171" s="129"/>
      <c r="G171" s="129"/>
      <c r="H171" s="129"/>
      <c r="I171" s="129"/>
      <c r="J171" s="129"/>
    </row>
    <row r="172" spans="1:10" x14ac:dyDescent="0.2">
      <c r="A172" s="183" t="s">
        <v>415</v>
      </c>
      <c r="B172" s="183"/>
      <c r="C172" s="183"/>
      <c r="D172" s="183"/>
      <c r="E172" s="183"/>
      <c r="F172" s="183"/>
      <c r="G172" s="183"/>
      <c r="H172" s="183"/>
      <c r="I172" s="183"/>
      <c r="J172" s="183"/>
    </row>
    <row r="173" spans="1:10" x14ac:dyDescent="0.2">
      <c r="A173" s="129"/>
      <c r="B173" s="129"/>
      <c r="C173" s="129"/>
      <c r="D173" s="129"/>
      <c r="E173" s="129"/>
      <c r="F173" s="129"/>
      <c r="G173" s="129"/>
      <c r="H173" s="129"/>
      <c r="I173" s="129"/>
      <c r="J173" s="129"/>
    </row>
    <row r="174" spans="1:10" x14ac:dyDescent="0.2">
      <c r="A174" s="129"/>
      <c r="B174" s="129"/>
      <c r="C174" s="129"/>
      <c r="D174" s="129"/>
      <c r="E174" s="129"/>
      <c r="F174" s="129"/>
      <c r="G174" s="129"/>
      <c r="H174" s="129"/>
      <c r="I174" s="129"/>
      <c r="J174" s="129"/>
    </row>
    <row r="175" spans="1:10" x14ac:dyDescent="0.2">
      <c r="A175" s="129"/>
      <c r="B175" s="129"/>
      <c r="C175" s="129"/>
      <c r="D175" s="129"/>
      <c r="E175" s="129"/>
      <c r="F175" s="129"/>
      <c r="G175" s="129"/>
      <c r="H175" s="129"/>
      <c r="I175" s="129"/>
      <c r="J175" s="129"/>
    </row>
    <row r="176" spans="1:10" ht="15" customHeight="1" x14ac:dyDescent="0.2">
      <c r="A176" s="129"/>
      <c r="B176" s="129"/>
      <c r="C176" s="129"/>
      <c r="D176" s="129"/>
      <c r="E176" s="129"/>
      <c r="F176" s="129"/>
      <c r="G176" s="129"/>
      <c r="H176" s="129"/>
      <c r="I176" s="129"/>
      <c r="J176" s="129"/>
    </row>
    <row r="177" spans="1:10" ht="22.5" x14ac:dyDescent="0.2">
      <c r="A177" s="180" t="s">
        <v>315</v>
      </c>
      <c r="B177" s="180"/>
      <c r="C177" s="180"/>
      <c r="D177" s="180"/>
      <c r="E177" s="180"/>
      <c r="F177" s="184" t="str">
        <f>F121</f>
        <v xml:space="preserve"> Actual 2014-2015</v>
      </c>
      <c r="G177" s="184" t="str">
        <f>G121</f>
        <v xml:space="preserve"> Estimate 2015-2016</v>
      </c>
      <c r="H177" s="184" t="str">
        <f>H121</f>
        <v xml:space="preserve"> Target 2016-2017</v>
      </c>
      <c r="I177" s="184" t="str">
        <f>I121</f>
        <v xml:space="preserve"> Target 2017-2018</v>
      </c>
      <c r="J177" s="184" t="str">
        <f>J121</f>
        <v xml:space="preserve"> Target 2018-2019</v>
      </c>
    </row>
    <row r="178" spans="1:10" x14ac:dyDescent="0.2">
      <c r="A178" s="180" t="s">
        <v>316</v>
      </c>
      <c r="B178" s="180"/>
      <c r="C178" s="180"/>
      <c r="D178" s="180"/>
      <c r="E178" s="180"/>
      <c r="F178" s="180"/>
      <c r="G178" s="180"/>
      <c r="H178" s="180"/>
      <c r="I178" s="180"/>
      <c r="J178" s="180"/>
    </row>
    <row r="179" spans="1:10" x14ac:dyDescent="0.2">
      <c r="A179" s="372" t="s">
        <v>991</v>
      </c>
      <c r="B179" s="372"/>
      <c r="C179" s="372"/>
      <c r="D179" s="372"/>
      <c r="E179" s="372"/>
      <c r="F179" s="273"/>
      <c r="G179" s="190"/>
      <c r="H179" s="190"/>
      <c r="I179" s="190"/>
      <c r="J179" s="190"/>
    </row>
    <row r="180" spans="1:10" x14ac:dyDescent="0.2">
      <c r="A180" s="372" t="s">
        <v>992</v>
      </c>
      <c r="B180" s="372"/>
      <c r="C180" s="372"/>
      <c r="D180" s="372"/>
      <c r="E180" s="372"/>
      <c r="F180" s="273"/>
      <c r="G180" s="190"/>
      <c r="H180" s="190"/>
      <c r="I180" s="190"/>
      <c r="J180" s="190"/>
    </row>
    <row r="181" spans="1:10" x14ac:dyDescent="0.2">
      <c r="A181" s="372" t="s">
        <v>993</v>
      </c>
      <c r="B181" s="372"/>
      <c r="C181" s="372"/>
      <c r="D181" s="372"/>
      <c r="E181" s="372"/>
      <c r="F181" s="273"/>
      <c r="G181" s="190"/>
      <c r="H181" s="190"/>
      <c r="I181" s="190"/>
      <c r="J181" s="190"/>
    </row>
    <row r="182" spans="1:10" x14ac:dyDescent="0.2">
      <c r="A182" s="188"/>
      <c r="B182" s="188"/>
      <c r="C182" s="188"/>
      <c r="D182" s="188"/>
      <c r="E182" s="188"/>
      <c r="F182" s="273"/>
      <c r="G182" s="190"/>
      <c r="H182" s="190"/>
      <c r="I182" s="190"/>
      <c r="J182" s="190"/>
    </row>
    <row r="183" spans="1:10" x14ac:dyDescent="0.2">
      <c r="A183" s="180" t="s">
        <v>324</v>
      </c>
      <c r="B183" s="180"/>
      <c r="C183" s="180"/>
      <c r="D183" s="180"/>
      <c r="E183" s="180"/>
      <c r="F183" s="180"/>
      <c r="G183" s="180"/>
      <c r="H183" s="180"/>
      <c r="I183" s="180"/>
      <c r="J183" s="180"/>
    </row>
    <row r="184" spans="1:10" ht="15.75" customHeight="1" x14ac:dyDescent="0.2">
      <c r="A184" s="372" t="s">
        <v>994</v>
      </c>
      <c r="B184" s="372"/>
      <c r="C184" s="372"/>
      <c r="D184" s="372"/>
      <c r="E184" s="372"/>
      <c r="F184" s="273"/>
      <c r="G184" s="190"/>
      <c r="H184" s="190"/>
      <c r="I184" s="190"/>
      <c r="J184" s="190"/>
    </row>
    <row r="185" spans="1:10" ht="15" customHeight="1" x14ac:dyDescent="0.2">
      <c r="A185" s="372" t="s">
        <v>995</v>
      </c>
      <c r="B185" s="372"/>
      <c r="C185" s="372"/>
      <c r="D185" s="372"/>
      <c r="E185" s="372"/>
      <c r="F185" s="273"/>
      <c r="G185" s="190"/>
      <c r="H185" s="190"/>
      <c r="I185" s="190"/>
      <c r="J185" s="190"/>
    </row>
    <row r="186" spans="1:10" x14ac:dyDescent="0.2">
      <c r="A186" s="372" t="s">
        <v>996</v>
      </c>
      <c r="B186" s="372"/>
      <c r="C186" s="372"/>
      <c r="D186" s="372"/>
      <c r="E186" s="372"/>
      <c r="F186" s="273"/>
      <c r="G186" s="190"/>
      <c r="H186" s="190"/>
      <c r="I186" s="190"/>
      <c r="J186" s="190"/>
    </row>
    <row r="187" spans="1:10" ht="15" customHeight="1" x14ac:dyDescent="0.2">
      <c r="A187" s="129"/>
      <c r="B187" s="129"/>
      <c r="C187" s="129"/>
      <c r="D187" s="129"/>
      <c r="E187" s="129"/>
      <c r="F187" s="129"/>
      <c r="G187" s="129"/>
      <c r="H187" s="129"/>
      <c r="I187" s="129"/>
      <c r="J187" s="129"/>
    </row>
    <row r="188" spans="1:10" ht="15" customHeight="1" x14ac:dyDescent="0.2">
      <c r="A188" s="150" t="s">
        <v>997</v>
      </c>
      <c r="B188" s="150"/>
      <c r="C188" s="150"/>
      <c r="D188" s="150"/>
      <c r="E188" s="150"/>
      <c r="F188" s="150"/>
      <c r="G188" s="150"/>
      <c r="H188" s="150"/>
      <c r="I188" s="150"/>
      <c r="J188" s="150"/>
    </row>
    <row r="189" spans="1:10" hidden="1" x14ac:dyDescent="0.2">
      <c r="A189" s="151" t="s">
        <v>291</v>
      </c>
      <c r="B189" s="151"/>
      <c r="C189" s="151"/>
      <c r="D189" s="101"/>
      <c r="E189" s="101"/>
      <c r="F189" s="101"/>
      <c r="G189" s="101"/>
      <c r="H189" s="101"/>
      <c r="I189" s="101"/>
      <c r="J189" s="101"/>
    </row>
    <row r="190" spans="1:10" ht="33" hidden="1" customHeight="1" x14ac:dyDescent="0.2">
      <c r="A190" s="129" t="s">
        <v>941</v>
      </c>
      <c r="B190" s="129"/>
      <c r="C190" s="129"/>
      <c r="D190" s="129"/>
      <c r="E190" s="129"/>
      <c r="F190" s="129"/>
      <c r="G190" s="129"/>
      <c r="H190" s="129"/>
      <c r="I190" s="129"/>
      <c r="J190" s="129"/>
    </row>
    <row r="191" spans="1:10" ht="15" hidden="1" customHeight="1" x14ac:dyDescent="0.2">
      <c r="A191" s="128" t="s">
        <v>293</v>
      </c>
      <c r="B191" s="128"/>
      <c r="C191" s="128"/>
      <c r="D191" s="128"/>
      <c r="E191" s="128"/>
      <c r="F191" s="128"/>
      <c r="G191" s="128"/>
      <c r="H191" s="128"/>
      <c r="I191" s="128"/>
      <c r="J191" s="128"/>
    </row>
    <row r="192" spans="1:10" ht="15" hidden="1" customHeight="1" x14ac:dyDescent="0.2">
      <c r="A192" s="152" t="s">
        <v>243</v>
      </c>
      <c r="B192" s="151" t="s">
        <v>242</v>
      </c>
      <c r="C192" s="151"/>
      <c r="D192" s="151"/>
      <c r="E192" s="132" t="s">
        <v>793</v>
      </c>
      <c r="F192" s="132" t="s">
        <v>794</v>
      </c>
      <c r="G192" s="132" t="s">
        <v>795</v>
      </c>
      <c r="H192" s="132" t="s">
        <v>796</v>
      </c>
      <c r="I192" s="132" t="s">
        <v>797</v>
      </c>
      <c r="J192" s="132" t="s">
        <v>798</v>
      </c>
    </row>
    <row r="193" spans="1:10" x14ac:dyDescent="0.2">
      <c r="A193" s="133"/>
      <c r="B193" s="134"/>
      <c r="C193" s="134"/>
      <c r="D193" s="134"/>
      <c r="E193" s="135"/>
      <c r="F193" s="262"/>
      <c r="G193" s="262"/>
      <c r="H193" s="136"/>
      <c r="I193" s="158"/>
      <c r="J193" s="158"/>
    </row>
    <row r="194" spans="1:10" ht="15" customHeight="1" x14ac:dyDescent="0.2">
      <c r="A194" s="137" t="s">
        <v>889</v>
      </c>
      <c r="B194" s="137"/>
      <c r="C194" s="137"/>
      <c r="D194" s="137"/>
      <c r="E194" s="138">
        <f t="shared" ref="E194:J194" si="36">SUM(E193:E193)</f>
        <v>0</v>
      </c>
      <c r="F194" s="138">
        <f t="shared" si="36"/>
        <v>0</v>
      </c>
      <c r="G194" s="138">
        <f t="shared" si="36"/>
        <v>0</v>
      </c>
      <c r="H194" s="138">
        <f t="shared" si="36"/>
        <v>0</v>
      </c>
      <c r="I194" s="138">
        <f t="shared" si="36"/>
        <v>0</v>
      </c>
      <c r="J194" s="138">
        <f t="shared" si="36"/>
        <v>0</v>
      </c>
    </row>
    <row r="195" spans="1:10" x14ac:dyDescent="0.2">
      <c r="A195" s="129"/>
      <c r="B195" s="129"/>
      <c r="C195" s="129"/>
      <c r="D195" s="129"/>
      <c r="E195" s="129"/>
      <c r="F195" s="129"/>
      <c r="G195" s="129"/>
      <c r="H195" s="129"/>
      <c r="I195" s="129"/>
      <c r="J195" s="129"/>
    </row>
    <row r="196" spans="1:10" ht="15" customHeight="1" x14ac:dyDescent="0.2">
      <c r="A196" s="128" t="s">
        <v>284</v>
      </c>
      <c r="B196" s="128"/>
      <c r="C196" s="128"/>
      <c r="D196" s="128"/>
      <c r="E196" s="128"/>
      <c r="F196" s="128"/>
      <c r="G196" s="128"/>
      <c r="H196" s="128"/>
      <c r="I196" s="128"/>
      <c r="J196" s="128"/>
    </row>
    <row r="197" spans="1:10" ht="33.75" x14ac:dyDescent="0.2">
      <c r="A197" s="152" t="s">
        <v>243</v>
      </c>
      <c r="B197" s="151" t="s">
        <v>242</v>
      </c>
      <c r="C197" s="151"/>
      <c r="D197" s="151"/>
      <c r="E197" s="132" t="str">
        <f t="shared" ref="E197:J197" si="37">E32</f>
        <v>Actuals           2014-2015</v>
      </c>
      <c r="F197" s="132" t="str">
        <f t="shared" si="37"/>
        <v>Approved Estimates          2015-2016</v>
      </c>
      <c r="G197" s="132" t="str">
        <f t="shared" si="37"/>
        <v>Revised Estimates                 2015-2016</v>
      </c>
      <c r="H197" s="132" t="str">
        <f t="shared" si="37"/>
        <v>Budget Estimates      2016-2017</v>
      </c>
      <c r="I197" s="132" t="str">
        <f t="shared" si="37"/>
        <v>Forward Estimates     2017-2018</v>
      </c>
      <c r="J197" s="132" t="str">
        <f t="shared" si="37"/>
        <v>Forward Estimates     2018-2019</v>
      </c>
    </row>
    <row r="198" spans="1:10" ht="15" customHeight="1" x14ac:dyDescent="0.2">
      <c r="A198" s="151" t="s">
        <v>7</v>
      </c>
      <c r="B198" s="151"/>
      <c r="C198" s="151"/>
      <c r="D198" s="151"/>
      <c r="E198" s="151"/>
      <c r="F198" s="151"/>
      <c r="G198" s="151"/>
      <c r="H198" s="151"/>
      <c r="I198" s="151"/>
      <c r="J198" s="190"/>
    </row>
    <row r="199" spans="1:10" x14ac:dyDescent="0.2">
      <c r="A199" s="133">
        <v>210</v>
      </c>
      <c r="B199" s="134" t="s">
        <v>7</v>
      </c>
      <c r="C199" s="134"/>
      <c r="D199" s="134"/>
      <c r="E199" s="135">
        <v>467465.12</v>
      </c>
      <c r="F199" s="262"/>
      <c r="G199" s="262"/>
      <c r="H199" s="136">
        <v>0</v>
      </c>
      <c r="I199" s="158">
        <v>0</v>
      </c>
      <c r="J199" s="158">
        <v>0</v>
      </c>
    </row>
    <row r="200" spans="1:10" x14ac:dyDescent="0.2">
      <c r="A200" s="133">
        <v>212</v>
      </c>
      <c r="B200" s="134" t="s">
        <v>9</v>
      </c>
      <c r="C200" s="134"/>
      <c r="D200" s="134"/>
      <c r="E200" s="135">
        <v>0</v>
      </c>
      <c r="F200" s="262"/>
      <c r="G200" s="262"/>
      <c r="H200" s="136">
        <v>0</v>
      </c>
      <c r="I200" s="158">
        <v>0</v>
      </c>
      <c r="J200" s="158">
        <v>0</v>
      </c>
    </row>
    <row r="201" spans="1:10" x14ac:dyDescent="0.2">
      <c r="A201" s="133">
        <v>216</v>
      </c>
      <c r="B201" s="134" t="s">
        <v>10</v>
      </c>
      <c r="C201" s="134"/>
      <c r="D201" s="134"/>
      <c r="E201" s="135">
        <v>79440</v>
      </c>
      <c r="F201" s="262"/>
      <c r="G201" s="262"/>
      <c r="H201" s="136">
        <v>0</v>
      </c>
      <c r="I201" s="158">
        <v>0</v>
      </c>
      <c r="J201" s="158">
        <v>0</v>
      </c>
    </row>
    <row r="202" spans="1:10" x14ac:dyDescent="0.2">
      <c r="A202" s="133">
        <v>218</v>
      </c>
      <c r="B202" s="134" t="s">
        <v>294</v>
      </c>
      <c r="C202" s="134"/>
      <c r="D202" s="134"/>
      <c r="E202" s="135">
        <v>0</v>
      </c>
      <c r="F202" s="262"/>
      <c r="G202" s="262"/>
      <c r="H202" s="136">
        <v>0</v>
      </c>
      <c r="I202" s="158">
        <v>0</v>
      </c>
      <c r="J202" s="158">
        <v>0</v>
      </c>
    </row>
    <row r="203" spans="1:10" x14ac:dyDescent="0.2">
      <c r="A203" s="156" t="s">
        <v>295</v>
      </c>
      <c r="B203" s="156"/>
      <c r="C203" s="156"/>
      <c r="D203" s="156"/>
      <c r="E203" s="157">
        <f t="shared" ref="E203:J203" si="38">SUM(E199:E202)</f>
        <v>546905.12</v>
      </c>
      <c r="F203" s="157">
        <f t="shared" si="38"/>
        <v>0</v>
      </c>
      <c r="G203" s="157">
        <f t="shared" si="38"/>
        <v>0</v>
      </c>
      <c r="H203" s="157">
        <f t="shared" si="38"/>
        <v>0</v>
      </c>
      <c r="I203" s="157">
        <f t="shared" si="38"/>
        <v>0</v>
      </c>
      <c r="J203" s="157">
        <f t="shared" si="38"/>
        <v>0</v>
      </c>
    </row>
    <row r="204" spans="1:10" ht="15" customHeight="1" x14ac:dyDescent="0.2">
      <c r="A204" s="156" t="s">
        <v>296</v>
      </c>
      <c r="B204" s="156"/>
      <c r="C204" s="156"/>
      <c r="D204" s="156"/>
      <c r="E204" s="156"/>
      <c r="F204" s="156"/>
      <c r="G204" s="156"/>
      <c r="H204" s="156"/>
      <c r="I204" s="156"/>
      <c r="J204" s="190"/>
    </row>
    <row r="205" spans="1:10" x14ac:dyDescent="0.2">
      <c r="A205" s="133">
        <v>226</v>
      </c>
      <c r="B205" s="134" t="s">
        <v>207</v>
      </c>
      <c r="C205" s="134"/>
      <c r="D205" s="134"/>
      <c r="E205" s="135">
        <v>207919.1</v>
      </c>
      <c r="F205" s="262"/>
      <c r="G205" s="262"/>
      <c r="H205" s="136">
        <v>0</v>
      </c>
      <c r="I205" s="158">
        <v>0</v>
      </c>
      <c r="J205" s="158">
        <v>0</v>
      </c>
    </row>
    <row r="206" spans="1:10" x14ac:dyDescent="0.2">
      <c r="A206" s="133">
        <v>228</v>
      </c>
      <c r="B206" s="134" t="s">
        <v>208</v>
      </c>
      <c r="C206" s="134"/>
      <c r="D206" s="134"/>
      <c r="E206" s="135">
        <v>4308.79</v>
      </c>
      <c r="F206" s="262"/>
      <c r="G206" s="262"/>
      <c r="H206" s="136">
        <v>0</v>
      </c>
      <c r="I206" s="158">
        <v>0</v>
      </c>
      <c r="J206" s="158">
        <v>0</v>
      </c>
    </row>
    <row r="207" spans="1:10" x14ac:dyDescent="0.2">
      <c r="A207" s="133">
        <v>232</v>
      </c>
      <c r="B207" s="134" t="s">
        <v>211</v>
      </c>
      <c r="C207" s="134"/>
      <c r="D207" s="134"/>
      <c r="E207" s="135">
        <v>173275.43</v>
      </c>
      <c r="F207" s="262"/>
      <c r="G207" s="262"/>
      <c r="H207" s="136">
        <v>0</v>
      </c>
      <c r="I207" s="158">
        <v>0</v>
      </c>
      <c r="J207" s="158">
        <v>0</v>
      </c>
    </row>
    <row r="208" spans="1:10" x14ac:dyDescent="0.2">
      <c r="A208" s="133">
        <v>236</v>
      </c>
      <c r="B208" s="134" t="s">
        <v>213</v>
      </c>
      <c r="C208" s="134"/>
      <c r="D208" s="134"/>
      <c r="E208" s="135">
        <v>892153.29</v>
      </c>
      <c r="F208" s="262"/>
      <c r="G208" s="262"/>
      <c r="H208" s="136">
        <v>0</v>
      </c>
      <c r="I208" s="158">
        <v>0</v>
      </c>
      <c r="J208" s="158">
        <v>0</v>
      </c>
    </row>
    <row r="209" spans="1:10" x14ac:dyDescent="0.2">
      <c r="A209" s="133">
        <v>275</v>
      </c>
      <c r="B209" s="134" t="s">
        <v>228</v>
      </c>
      <c r="C209" s="134"/>
      <c r="D209" s="134"/>
      <c r="E209" s="135">
        <v>988</v>
      </c>
      <c r="F209" s="262"/>
      <c r="G209" s="262"/>
      <c r="H209" s="136">
        <v>0</v>
      </c>
      <c r="I209" s="158">
        <v>0</v>
      </c>
      <c r="J209" s="158">
        <v>0</v>
      </c>
    </row>
    <row r="210" spans="1:10" x14ac:dyDescent="0.2">
      <c r="A210" s="156" t="s">
        <v>298</v>
      </c>
      <c r="B210" s="156"/>
      <c r="C210" s="156"/>
      <c r="D210" s="156"/>
      <c r="E210" s="157">
        <f t="shared" ref="E210:J210" si="39">SUM(E205:E209)</f>
        <v>1278644.6100000001</v>
      </c>
      <c r="F210" s="264">
        <f t="shared" si="39"/>
        <v>0</v>
      </c>
      <c r="G210" s="157">
        <f t="shared" si="39"/>
        <v>0</v>
      </c>
      <c r="H210" s="157">
        <f t="shared" si="39"/>
        <v>0</v>
      </c>
      <c r="I210" s="157">
        <f t="shared" si="39"/>
        <v>0</v>
      </c>
      <c r="J210" s="157">
        <f t="shared" si="39"/>
        <v>0</v>
      </c>
    </row>
    <row r="211" spans="1:10" ht="15" customHeight="1" x14ac:dyDescent="0.2">
      <c r="A211" s="159" t="s">
        <v>299</v>
      </c>
      <c r="B211" s="159"/>
      <c r="C211" s="159"/>
      <c r="D211" s="159"/>
      <c r="E211" s="160">
        <f t="shared" ref="E211:J211" si="40">SUM(E203,E210)</f>
        <v>1825549.73</v>
      </c>
      <c r="F211" s="160">
        <f t="shared" si="40"/>
        <v>0</v>
      </c>
      <c r="G211" s="160">
        <f t="shared" si="40"/>
        <v>0</v>
      </c>
      <c r="H211" s="160">
        <f t="shared" si="40"/>
        <v>0</v>
      </c>
      <c r="I211" s="160">
        <f t="shared" si="40"/>
        <v>0</v>
      </c>
      <c r="J211" s="160">
        <f t="shared" si="40"/>
        <v>0</v>
      </c>
    </row>
    <row r="212" spans="1:10" ht="19.5" customHeight="1" x14ac:dyDescent="0.2">
      <c r="A212" s="129"/>
      <c r="B212" s="129"/>
      <c r="C212" s="129"/>
      <c r="D212" s="129"/>
      <c r="E212" s="129"/>
      <c r="F212" s="129"/>
      <c r="G212" s="129"/>
      <c r="H212" s="129"/>
      <c r="I212" s="129"/>
      <c r="J212" s="190"/>
    </row>
    <row r="213" spans="1:10" x14ac:dyDescent="0.2">
      <c r="A213" s="162" t="s">
        <v>15</v>
      </c>
      <c r="B213" s="162"/>
      <c r="C213" s="162"/>
      <c r="D213" s="162"/>
      <c r="E213" s="162"/>
      <c r="F213" s="162"/>
      <c r="G213" s="162"/>
      <c r="H213" s="162"/>
      <c r="I213" s="162"/>
      <c r="J213" s="162"/>
    </row>
    <row r="214" spans="1:10" ht="18" customHeight="1" x14ac:dyDescent="0.2">
      <c r="A214" s="131" t="s">
        <v>242</v>
      </c>
      <c r="B214" s="131"/>
      <c r="C214" s="131"/>
      <c r="D214" s="131"/>
      <c r="E214" s="128" t="str">
        <f t="shared" ref="E214:J214" si="41">E32</f>
        <v>Actuals           2014-2015</v>
      </c>
      <c r="F214" s="128" t="str">
        <f t="shared" si="41"/>
        <v>Approved Estimates          2015-2016</v>
      </c>
      <c r="G214" s="128" t="str">
        <f t="shared" si="41"/>
        <v>Revised Estimates                 2015-2016</v>
      </c>
      <c r="H214" s="128" t="str">
        <f t="shared" si="41"/>
        <v>Budget Estimates      2016-2017</v>
      </c>
      <c r="I214" s="128" t="str">
        <f t="shared" si="41"/>
        <v>Forward Estimates     2017-2018</v>
      </c>
      <c r="J214" s="128" t="str">
        <f t="shared" si="41"/>
        <v>Forward Estimates     2018-2019</v>
      </c>
    </row>
    <row r="215" spans="1:10" ht="15" customHeight="1" x14ac:dyDescent="0.2">
      <c r="A215" s="130" t="s">
        <v>243</v>
      </c>
      <c r="B215" s="130" t="s">
        <v>244</v>
      </c>
      <c r="C215" s="131" t="s">
        <v>245</v>
      </c>
      <c r="D215" s="131"/>
      <c r="E215" s="101"/>
      <c r="F215" s="101"/>
      <c r="G215" s="101"/>
      <c r="H215" s="101"/>
      <c r="I215" s="101"/>
      <c r="J215" s="101"/>
    </row>
    <row r="216" spans="1:10" x14ac:dyDescent="0.2">
      <c r="A216" s="163"/>
      <c r="B216" s="163"/>
      <c r="C216" s="156"/>
      <c r="D216" s="156"/>
      <c r="E216" s="158"/>
      <c r="F216" s="209"/>
      <c r="G216" s="158"/>
      <c r="H216" s="136"/>
      <c r="I216" s="158"/>
      <c r="J216" s="135"/>
    </row>
    <row r="217" spans="1:10" ht="15" customHeight="1" x14ac:dyDescent="0.2">
      <c r="A217" s="163"/>
      <c r="B217" s="163"/>
      <c r="C217" s="156"/>
      <c r="D217" s="156"/>
      <c r="E217" s="158"/>
      <c r="F217" s="209"/>
      <c r="G217" s="158"/>
      <c r="H217" s="136"/>
      <c r="I217" s="158"/>
      <c r="J217" s="135"/>
    </row>
    <row r="218" spans="1:10" x14ac:dyDescent="0.2">
      <c r="A218" s="137" t="s">
        <v>15</v>
      </c>
      <c r="B218" s="137"/>
      <c r="C218" s="137"/>
      <c r="D218" s="137"/>
      <c r="E218" s="138">
        <v>0</v>
      </c>
      <c r="F218" s="138">
        <v>0</v>
      </c>
      <c r="G218" s="138">
        <v>0</v>
      </c>
      <c r="H218" s="138">
        <v>0</v>
      </c>
      <c r="I218" s="138">
        <v>0</v>
      </c>
      <c r="J218" s="138">
        <v>0</v>
      </c>
    </row>
    <row r="219" spans="1:10" ht="15" customHeight="1" x14ac:dyDescent="0.2">
      <c r="A219" s="290"/>
      <c r="B219" s="290"/>
      <c r="C219" s="290"/>
      <c r="D219" s="290"/>
      <c r="E219" s="290"/>
      <c r="F219" s="290"/>
      <c r="G219" s="290"/>
      <c r="H219" s="290"/>
      <c r="I219" s="290"/>
      <c r="J219" s="290"/>
    </row>
    <row r="220" spans="1:10" ht="15" customHeight="1" x14ac:dyDescent="0.2">
      <c r="A220" s="161" t="s">
        <v>288</v>
      </c>
      <c r="B220" s="161"/>
      <c r="C220" s="161"/>
      <c r="D220" s="161"/>
      <c r="E220" s="161"/>
      <c r="F220" s="202"/>
      <c r="G220" s="202"/>
      <c r="H220" s="202"/>
      <c r="I220" s="202"/>
      <c r="J220" s="202"/>
    </row>
    <row r="221" spans="1:10" ht="15" customHeight="1" x14ac:dyDescent="0.2">
      <c r="A221" s="131" t="s">
        <v>300</v>
      </c>
      <c r="B221" s="131"/>
      <c r="C221" s="131"/>
      <c r="D221" s="132" t="s">
        <v>301</v>
      </c>
      <c r="E221" s="291" t="s">
        <v>302</v>
      </c>
      <c r="F221" s="292"/>
      <c r="G221" s="220"/>
      <c r="H221" s="220"/>
      <c r="I221" s="220"/>
      <c r="J221" s="221"/>
    </row>
    <row r="222" spans="1:10" ht="15" customHeight="1" x14ac:dyDescent="0.2">
      <c r="A222" s="134"/>
      <c r="B222" s="134"/>
      <c r="C222" s="134"/>
      <c r="D222" s="133"/>
      <c r="E222" s="268"/>
      <c r="F222" s="293"/>
      <c r="G222" s="171"/>
      <c r="H222" s="171"/>
      <c r="I222" s="171"/>
      <c r="J222" s="174"/>
    </row>
    <row r="223" spans="1:10" x14ac:dyDescent="0.2">
      <c r="A223" s="159" t="s">
        <v>303</v>
      </c>
      <c r="B223" s="159"/>
      <c r="C223" s="159"/>
      <c r="D223" s="159"/>
      <c r="E223" s="294">
        <f>SUM(E222:E222)</f>
        <v>0</v>
      </c>
      <c r="F223" s="295"/>
      <c r="G223" s="177"/>
      <c r="H223" s="177"/>
      <c r="I223" s="177"/>
      <c r="J223" s="178"/>
    </row>
    <row r="224" spans="1:10" x14ac:dyDescent="0.2">
      <c r="A224" s="129"/>
      <c r="B224" s="129"/>
      <c r="C224" s="129"/>
      <c r="D224" s="129"/>
      <c r="E224" s="129"/>
      <c r="F224" s="179"/>
      <c r="G224" s="179"/>
      <c r="H224" s="179"/>
      <c r="I224" s="179"/>
      <c r="J224" s="179"/>
    </row>
    <row r="225" spans="1:10" x14ac:dyDescent="0.2">
      <c r="A225" s="180" t="s">
        <v>304</v>
      </c>
      <c r="B225" s="180"/>
      <c r="C225" s="180"/>
      <c r="D225" s="180"/>
      <c r="E225" s="180"/>
      <c r="F225" s="180"/>
      <c r="G225" s="180"/>
      <c r="H225" s="180"/>
      <c r="I225" s="180"/>
      <c r="J225" s="180"/>
    </row>
    <row r="226" spans="1:10" x14ac:dyDescent="0.2">
      <c r="A226" s="181" t="s">
        <v>305</v>
      </c>
      <c r="B226" s="181"/>
      <c r="C226" s="181"/>
      <c r="D226" s="181"/>
      <c r="E226" s="181"/>
      <c r="F226" s="181"/>
      <c r="G226" s="181"/>
      <c r="H226" s="181"/>
      <c r="I226" s="181"/>
      <c r="J226" s="181"/>
    </row>
    <row r="227" spans="1:10" x14ac:dyDescent="0.2">
      <c r="A227" s="129" t="s">
        <v>998</v>
      </c>
      <c r="B227" s="129"/>
      <c r="C227" s="129"/>
      <c r="D227" s="129"/>
      <c r="E227" s="129"/>
      <c r="F227" s="129"/>
      <c r="G227" s="129"/>
      <c r="H227" s="129"/>
      <c r="I227" s="129"/>
      <c r="J227" s="129"/>
    </row>
    <row r="228" spans="1:10" x14ac:dyDescent="0.2">
      <c r="A228" s="129"/>
      <c r="B228" s="129"/>
      <c r="C228" s="129"/>
      <c r="D228" s="129"/>
      <c r="E228" s="129"/>
      <c r="F228" s="129"/>
      <c r="G228" s="129"/>
      <c r="H228" s="129"/>
      <c r="I228" s="129"/>
      <c r="J228" s="129"/>
    </row>
    <row r="229" spans="1:10" x14ac:dyDescent="0.2">
      <c r="A229" s="183" t="s">
        <v>415</v>
      </c>
      <c r="B229" s="183"/>
      <c r="C229" s="183"/>
      <c r="D229" s="183"/>
      <c r="E229" s="183"/>
      <c r="F229" s="183"/>
      <c r="G229" s="183"/>
      <c r="H229" s="183"/>
      <c r="I229" s="183"/>
      <c r="J229" s="183"/>
    </row>
    <row r="230" spans="1:10" x14ac:dyDescent="0.2">
      <c r="A230" s="129"/>
      <c r="B230" s="129"/>
      <c r="C230" s="129"/>
      <c r="D230" s="129"/>
      <c r="E230" s="129"/>
      <c r="F230" s="129"/>
      <c r="G230" s="129"/>
      <c r="H230" s="129"/>
      <c r="I230" s="129"/>
      <c r="J230" s="129"/>
    </row>
    <row r="231" spans="1:10" x14ac:dyDescent="0.2">
      <c r="A231" s="129"/>
      <c r="B231" s="129"/>
      <c r="C231" s="129"/>
      <c r="D231" s="129"/>
      <c r="E231" s="129"/>
      <c r="F231" s="129"/>
      <c r="G231" s="129"/>
      <c r="H231" s="129"/>
      <c r="I231" s="129"/>
      <c r="J231" s="129"/>
    </row>
    <row r="232" spans="1:10" x14ac:dyDescent="0.2">
      <c r="A232" s="129"/>
      <c r="B232" s="129"/>
      <c r="C232" s="129"/>
      <c r="D232" s="129"/>
      <c r="E232" s="129"/>
      <c r="F232" s="129"/>
      <c r="G232" s="129"/>
      <c r="H232" s="129"/>
      <c r="I232" s="129"/>
      <c r="J232" s="129"/>
    </row>
    <row r="233" spans="1:10" ht="22.5" x14ac:dyDescent="0.2">
      <c r="A233" s="180" t="s">
        <v>315</v>
      </c>
      <c r="B233" s="180"/>
      <c r="C233" s="180"/>
      <c r="D233" s="180"/>
      <c r="E233" s="180"/>
      <c r="F233" s="184" t="str">
        <f>F121</f>
        <v xml:space="preserve"> Actual 2014-2015</v>
      </c>
      <c r="G233" s="184" t="str">
        <f>G121</f>
        <v xml:space="preserve"> Estimate 2015-2016</v>
      </c>
      <c r="H233" s="184" t="str">
        <f>H121</f>
        <v xml:space="preserve"> Target 2016-2017</v>
      </c>
      <c r="I233" s="184" t="str">
        <f>I121</f>
        <v xml:space="preserve"> Target 2017-2018</v>
      </c>
      <c r="J233" s="184" t="str">
        <f>J121</f>
        <v xml:space="preserve"> Target 2018-2019</v>
      </c>
    </row>
    <row r="234" spans="1:10" x14ac:dyDescent="0.2">
      <c r="A234" s="180" t="s">
        <v>316</v>
      </c>
      <c r="B234" s="180"/>
      <c r="C234" s="180"/>
      <c r="D234" s="180"/>
      <c r="E234" s="180"/>
      <c r="F234" s="180"/>
      <c r="G234" s="180"/>
      <c r="H234" s="180"/>
      <c r="I234" s="180"/>
      <c r="J234" s="180"/>
    </row>
    <row r="235" spans="1:10" x14ac:dyDescent="0.2">
      <c r="A235" s="369" t="s">
        <v>947</v>
      </c>
      <c r="B235" s="369"/>
      <c r="C235" s="369"/>
      <c r="D235" s="369"/>
      <c r="E235" s="369"/>
      <c r="F235" s="273"/>
      <c r="G235" s="190"/>
      <c r="H235" s="190"/>
      <c r="I235" s="190"/>
      <c r="J235" s="190"/>
    </row>
    <row r="236" spans="1:10" x14ac:dyDescent="0.2">
      <c r="A236" s="369" t="s">
        <v>949</v>
      </c>
      <c r="B236" s="369"/>
      <c r="C236" s="369"/>
      <c r="D236" s="369"/>
      <c r="E236" s="369"/>
      <c r="F236" s="273"/>
      <c r="G236" s="190"/>
      <c r="H236" s="190"/>
      <c r="I236" s="190"/>
      <c r="J236" s="190"/>
    </row>
    <row r="237" spans="1:10" x14ac:dyDescent="0.2">
      <c r="A237" s="369" t="s">
        <v>950</v>
      </c>
      <c r="B237" s="369"/>
      <c r="C237" s="369"/>
      <c r="D237" s="369"/>
      <c r="E237" s="369"/>
      <c r="F237" s="273"/>
      <c r="G237" s="190"/>
      <c r="H237" s="190"/>
      <c r="I237" s="190"/>
      <c r="J237" s="190"/>
    </row>
    <row r="238" spans="1:10" x14ac:dyDescent="0.2">
      <c r="A238" s="188" t="s">
        <v>660</v>
      </c>
      <c r="B238" s="188"/>
      <c r="C238" s="188"/>
      <c r="D238" s="188"/>
      <c r="E238" s="188"/>
      <c r="F238" s="273"/>
      <c r="G238" s="190"/>
      <c r="H238" s="190"/>
      <c r="I238" s="190"/>
      <c r="J238" s="190"/>
    </row>
    <row r="239" spans="1:10" ht="23.25" customHeight="1" x14ac:dyDescent="0.2">
      <c r="A239" s="180" t="s">
        <v>324</v>
      </c>
      <c r="B239" s="180"/>
      <c r="C239" s="180"/>
      <c r="D239" s="180"/>
      <c r="E239" s="180"/>
      <c r="F239" s="180"/>
      <c r="G239" s="180"/>
      <c r="H239" s="180"/>
      <c r="I239" s="180"/>
      <c r="J239" s="180"/>
    </row>
    <row r="240" spans="1:10" x14ac:dyDescent="0.2">
      <c r="A240" s="372" t="s">
        <v>999</v>
      </c>
      <c r="B240" s="372"/>
      <c r="C240" s="372"/>
      <c r="D240" s="372"/>
      <c r="E240" s="372"/>
      <c r="F240" s="273"/>
      <c r="G240" s="190"/>
      <c r="H240" s="190"/>
      <c r="I240" s="190"/>
      <c r="J240" s="190"/>
    </row>
    <row r="241" spans="1:10" x14ac:dyDescent="0.2">
      <c r="A241" s="369" t="s">
        <v>1000</v>
      </c>
      <c r="B241" s="369"/>
      <c r="C241" s="369"/>
      <c r="D241" s="369"/>
      <c r="E241" s="369"/>
      <c r="F241" s="273"/>
      <c r="G241" s="190"/>
      <c r="H241" s="190"/>
      <c r="I241" s="190"/>
      <c r="J241" s="190"/>
    </row>
    <row r="242" spans="1:10" x14ac:dyDescent="0.2">
      <c r="A242" s="369" t="s">
        <v>954</v>
      </c>
      <c r="B242" s="369"/>
      <c r="C242" s="369"/>
      <c r="D242" s="369"/>
      <c r="E242" s="369"/>
      <c r="F242" s="273"/>
      <c r="G242" s="190"/>
      <c r="H242" s="190"/>
      <c r="I242" s="190"/>
      <c r="J242" s="190"/>
    </row>
    <row r="243" spans="1:10" x14ac:dyDescent="0.2">
      <c r="A243" s="129"/>
      <c r="B243" s="129"/>
      <c r="C243" s="129"/>
      <c r="D243" s="129"/>
      <c r="E243" s="129"/>
      <c r="F243" s="129"/>
      <c r="G243" s="129"/>
      <c r="H243" s="129"/>
      <c r="I243" s="129"/>
      <c r="J243" s="129"/>
    </row>
    <row r="244" spans="1:10" x14ac:dyDescent="0.2">
      <c r="A244" s="150" t="s">
        <v>1001</v>
      </c>
      <c r="B244" s="150"/>
      <c r="C244" s="150"/>
      <c r="D244" s="150"/>
      <c r="E244" s="150"/>
      <c r="F244" s="150"/>
      <c r="G244" s="150"/>
      <c r="H244" s="150"/>
      <c r="I244" s="150"/>
      <c r="J244" s="150"/>
    </row>
    <row r="245" spans="1:10" x14ac:dyDescent="0.2">
      <c r="A245" s="151" t="s">
        <v>291</v>
      </c>
      <c r="B245" s="151"/>
      <c r="C245" s="151"/>
      <c r="D245" s="101"/>
      <c r="E245" s="101"/>
      <c r="F245" s="101"/>
      <c r="G245" s="101"/>
      <c r="H245" s="101"/>
      <c r="I245" s="101"/>
      <c r="J245" s="101"/>
    </row>
    <row r="246" spans="1:10" x14ac:dyDescent="0.2">
      <c r="A246" s="129" t="s">
        <v>1002</v>
      </c>
      <c r="B246" s="129"/>
      <c r="C246" s="129"/>
      <c r="D246" s="129"/>
      <c r="E246" s="129"/>
      <c r="F246" s="129"/>
      <c r="G246" s="129"/>
      <c r="H246" s="129"/>
      <c r="I246" s="129"/>
      <c r="J246" s="129"/>
    </row>
    <row r="247" spans="1:10" x14ac:dyDescent="0.2">
      <c r="A247" s="128" t="s">
        <v>293</v>
      </c>
      <c r="B247" s="128"/>
      <c r="C247" s="128"/>
      <c r="D247" s="128"/>
      <c r="E247" s="128"/>
      <c r="F247" s="128"/>
      <c r="G247" s="128"/>
      <c r="H247" s="128"/>
      <c r="I247" s="128"/>
      <c r="J247" s="128"/>
    </row>
    <row r="248" spans="1:10" ht="33.75" x14ac:dyDescent="0.2">
      <c r="A248" s="152" t="s">
        <v>243</v>
      </c>
      <c r="B248" s="151" t="s">
        <v>242</v>
      </c>
      <c r="C248" s="151"/>
      <c r="D248" s="151"/>
      <c r="E248" s="132" t="str">
        <f t="shared" ref="E248:J248" si="42">E32</f>
        <v>Actuals           2014-2015</v>
      </c>
      <c r="F248" s="132" t="str">
        <f t="shared" si="42"/>
        <v>Approved Estimates          2015-2016</v>
      </c>
      <c r="G248" s="132" t="str">
        <f t="shared" si="42"/>
        <v>Revised Estimates                 2015-2016</v>
      </c>
      <c r="H248" s="132" t="str">
        <f t="shared" si="42"/>
        <v>Budget Estimates      2016-2017</v>
      </c>
      <c r="I248" s="132" t="str">
        <f t="shared" si="42"/>
        <v>Forward Estimates     2017-2018</v>
      </c>
      <c r="J248" s="132" t="str">
        <f t="shared" si="42"/>
        <v>Forward Estimates     2018-2019</v>
      </c>
    </row>
    <row r="249" spans="1:10" x14ac:dyDescent="0.2">
      <c r="A249" s="133">
        <v>130</v>
      </c>
      <c r="B249" s="134" t="s">
        <v>888</v>
      </c>
      <c r="C249" s="134"/>
      <c r="D249" s="134"/>
      <c r="E249" s="135">
        <v>203712.86000000004</v>
      </c>
      <c r="F249" s="262">
        <v>0</v>
      </c>
      <c r="G249" s="262">
        <v>0</v>
      </c>
      <c r="H249" s="136">
        <v>0</v>
      </c>
      <c r="I249" s="158">
        <v>0</v>
      </c>
      <c r="J249" s="158">
        <v>0</v>
      </c>
    </row>
    <row r="250" spans="1:10" x14ac:dyDescent="0.2">
      <c r="A250" s="133">
        <v>160</v>
      </c>
      <c r="B250" s="134" t="s">
        <v>466</v>
      </c>
      <c r="C250" s="134"/>
      <c r="D250" s="134"/>
      <c r="E250" s="135">
        <v>0</v>
      </c>
      <c r="F250" s="262">
        <v>0</v>
      </c>
      <c r="G250" s="262">
        <v>0</v>
      </c>
      <c r="H250" s="136">
        <v>0</v>
      </c>
      <c r="I250" s="158">
        <v>0</v>
      </c>
      <c r="J250" s="158">
        <v>0</v>
      </c>
    </row>
    <row r="251" spans="1:10" x14ac:dyDescent="0.2">
      <c r="A251" s="137" t="s">
        <v>889</v>
      </c>
      <c r="B251" s="137"/>
      <c r="C251" s="137"/>
      <c r="D251" s="137"/>
      <c r="E251" s="138">
        <f t="shared" ref="E251:J251" si="43">SUM(E249:E250)</f>
        <v>203712.86000000004</v>
      </c>
      <c r="F251" s="138">
        <f t="shared" si="43"/>
        <v>0</v>
      </c>
      <c r="G251" s="138">
        <f t="shared" si="43"/>
        <v>0</v>
      </c>
      <c r="H251" s="138">
        <f t="shared" si="43"/>
        <v>0</v>
      </c>
      <c r="I251" s="138">
        <f t="shared" si="43"/>
        <v>0</v>
      </c>
      <c r="J251" s="138">
        <f t="shared" si="43"/>
        <v>0</v>
      </c>
    </row>
    <row r="252" spans="1:10" x14ac:dyDescent="0.2">
      <c r="A252" s="129"/>
      <c r="B252" s="129"/>
      <c r="C252" s="129"/>
      <c r="D252" s="129"/>
      <c r="E252" s="129"/>
      <c r="F252" s="129"/>
      <c r="G252" s="129"/>
      <c r="H252" s="129"/>
      <c r="I252" s="129"/>
      <c r="J252" s="129"/>
    </row>
    <row r="253" spans="1:10" ht="14.25" customHeight="1" x14ac:dyDescent="0.2">
      <c r="A253" s="314" t="s">
        <v>284</v>
      </c>
      <c r="B253" s="315"/>
      <c r="C253" s="315"/>
      <c r="D253" s="315"/>
      <c r="E253" s="315"/>
      <c r="F253" s="315"/>
      <c r="G253" s="315"/>
      <c r="H253" s="315"/>
      <c r="I253" s="315"/>
      <c r="J253" s="316"/>
    </row>
    <row r="254" spans="1:10" ht="33.75" x14ac:dyDescent="0.2">
      <c r="A254" s="152" t="s">
        <v>243</v>
      </c>
      <c r="B254" s="151" t="s">
        <v>242</v>
      </c>
      <c r="C254" s="151"/>
      <c r="D254" s="151"/>
      <c r="E254" s="132" t="str">
        <f t="shared" ref="E254:J254" si="44">E32</f>
        <v>Actuals           2014-2015</v>
      </c>
      <c r="F254" s="132" t="str">
        <f t="shared" si="44"/>
        <v>Approved Estimates          2015-2016</v>
      </c>
      <c r="G254" s="132" t="str">
        <f t="shared" si="44"/>
        <v>Revised Estimates                 2015-2016</v>
      </c>
      <c r="H254" s="132" t="str">
        <f t="shared" si="44"/>
        <v>Budget Estimates      2016-2017</v>
      </c>
      <c r="I254" s="132" t="str">
        <f t="shared" si="44"/>
        <v>Forward Estimates     2017-2018</v>
      </c>
      <c r="J254" s="132" t="str">
        <f t="shared" si="44"/>
        <v>Forward Estimates     2018-2019</v>
      </c>
    </row>
    <row r="255" spans="1:10" x14ac:dyDescent="0.2">
      <c r="A255" s="151" t="s">
        <v>7</v>
      </c>
      <c r="B255" s="151"/>
      <c r="C255" s="151"/>
      <c r="D255" s="151"/>
      <c r="E255" s="151"/>
      <c r="F255" s="151"/>
      <c r="G255" s="151"/>
      <c r="H255" s="151"/>
      <c r="I255" s="151"/>
      <c r="J255" s="190"/>
    </row>
    <row r="256" spans="1:10" x14ac:dyDescent="0.2">
      <c r="A256" s="133">
        <v>210</v>
      </c>
      <c r="B256" s="134" t="s">
        <v>7</v>
      </c>
      <c r="C256" s="134"/>
      <c r="D256" s="134"/>
      <c r="E256" s="135">
        <v>602089.25</v>
      </c>
      <c r="F256" s="262"/>
      <c r="G256" s="262"/>
      <c r="H256" s="136">
        <v>0</v>
      </c>
      <c r="I256" s="158">
        <v>0</v>
      </c>
      <c r="J256" s="158">
        <v>0</v>
      </c>
    </row>
    <row r="257" spans="1:10" x14ac:dyDescent="0.2">
      <c r="A257" s="133">
        <v>212</v>
      </c>
      <c r="B257" s="134" t="s">
        <v>9</v>
      </c>
      <c r="C257" s="134"/>
      <c r="D257" s="134"/>
      <c r="E257" s="135">
        <v>8815.0499999999993</v>
      </c>
      <c r="F257" s="262"/>
      <c r="G257" s="262"/>
      <c r="H257" s="136">
        <v>0</v>
      </c>
      <c r="I257" s="158">
        <v>0</v>
      </c>
      <c r="J257" s="158">
        <v>0</v>
      </c>
    </row>
    <row r="258" spans="1:10" x14ac:dyDescent="0.2">
      <c r="A258" s="133">
        <v>216</v>
      </c>
      <c r="B258" s="134" t="s">
        <v>10</v>
      </c>
      <c r="C258" s="134"/>
      <c r="D258" s="134"/>
      <c r="E258" s="135">
        <v>36045.57</v>
      </c>
      <c r="F258" s="262"/>
      <c r="G258" s="262"/>
      <c r="H258" s="136">
        <v>0</v>
      </c>
      <c r="I258" s="158">
        <v>0</v>
      </c>
      <c r="J258" s="158">
        <v>0</v>
      </c>
    </row>
    <row r="259" spans="1:10" x14ac:dyDescent="0.2">
      <c r="A259" s="133">
        <v>218</v>
      </c>
      <c r="B259" s="134" t="s">
        <v>294</v>
      </c>
      <c r="C259" s="134"/>
      <c r="D259" s="134"/>
      <c r="E259" s="135">
        <v>7633.5</v>
      </c>
      <c r="F259" s="262"/>
      <c r="G259" s="262"/>
      <c r="H259" s="136">
        <v>0</v>
      </c>
      <c r="I259" s="158">
        <v>0</v>
      </c>
      <c r="J259" s="158">
        <v>0</v>
      </c>
    </row>
    <row r="260" spans="1:10" x14ac:dyDescent="0.2">
      <c r="A260" s="156" t="s">
        <v>295</v>
      </c>
      <c r="B260" s="156"/>
      <c r="C260" s="156"/>
      <c r="D260" s="156"/>
      <c r="E260" s="157">
        <f t="shared" ref="E260:J260" si="45">SUM(E256:E259)</f>
        <v>654583.37</v>
      </c>
      <c r="F260" s="157">
        <f t="shared" si="45"/>
        <v>0</v>
      </c>
      <c r="G260" s="157">
        <f t="shared" si="45"/>
        <v>0</v>
      </c>
      <c r="H260" s="157">
        <f t="shared" si="45"/>
        <v>0</v>
      </c>
      <c r="I260" s="157">
        <f t="shared" si="45"/>
        <v>0</v>
      </c>
      <c r="J260" s="157">
        <f t="shared" si="45"/>
        <v>0</v>
      </c>
    </row>
    <row r="261" spans="1:10" x14ac:dyDescent="0.2">
      <c r="A261" s="156" t="s">
        <v>296</v>
      </c>
      <c r="B261" s="156"/>
      <c r="C261" s="156"/>
      <c r="D261" s="156"/>
      <c r="E261" s="156"/>
      <c r="F261" s="156"/>
      <c r="G261" s="156"/>
      <c r="H261" s="156"/>
      <c r="I261" s="156"/>
      <c r="J261" s="190"/>
    </row>
    <row r="262" spans="1:10" x14ac:dyDescent="0.2">
      <c r="A262" s="133">
        <v>220</v>
      </c>
      <c r="B262" s="134" t="s">
        <v>204</v>
      </c>
      <c r="C262" s="134"/>
      <c r="D262" s="134"/>
      <c r="E262" s="135">
        <v>0</v>
      </c>
      <c r="F262" s="262"/>
      <c r="G262" s="262"/>
      <c r="H262" s="136">
        <v>0</v>
      </c>
      <c r="I262" s="158">
        <v>0</v>
      </c>
      <c r="J262" s="158">
        <v>0</v>
      </c>
    </row>
    <row r="263" spans="1:10" x14ac:dyDescent="0.2">
      <c r="A263" s="133">
        <v>224</v>
      </c>
      <c r="B263" s="134" t="s">
        <v>206</v>
      </c>
      <c r="C263" s="134"/>
      <c r="D263" s="134"/>
      <c r="E263" s="135">
        <v>55257.4</v>
      </c>
      <c r="F263" s="262"/>
      <c r="G263" s="262"/>
      <c r="H263" s="136">
        <v>0</v>
      </c>
      <c r="I263" s="158">
        <v>0</v>
      </c>
      <c r="J263" s="158">
        <v>0</v>
      </c>
    </row>
    <row r="264" spans="1:10" x14ac:dyDescent="0.2">
      <c r="A264" s="133">
        <v>226</v>
      </c>
      <c r="B264" s="134" t="s">
        <v>207</v>
      </c>
      <c r="C264" s="134"/>
      <c r="D264" s="134"/>
      <c r="E264" s="135">
        <v>24472.32</v>
      </c>
      <c r="F264" s="262"/>
      <c r="G264" s="262"/>
      <c r="H264" s="136">
        <v>0</v>
      </c>
      <c r="I264" s="158">
        <v>0</v>
      </c>
      <c r="J264" s="158">
        <v>0</v>
      </c>
    </row>
    <row r="265" spans="1:10" x14ac:dyDescent="0.2">
      <c r="A265" s="133">
        <v>228</v>
      </c>
      <c r="B265" s="134" t="s">
        <v>208</v>
      </c>
      <c r="C265" s="134"/>
      <c r="D265" s="134"/>
      <c r="E265" s="135">
        <v>6611.84</v>
      </c>
      <c r="F265" s="262"/>
      <c r="G265" s="262"/>
      <c r="H265" s="136">
        <v>0</v>
      </c>
      <c r="I265" s="158">
        <v>0</v>
      </c>
      <c r="J265" s="158">
        <v>0</v>
      </c>
    </row>
    <row r="266" spans="1:10" x14ac:dyDescent="0.2">
      <c r="A266" s="133">
        <v>229</v>
      </c>
      <c r="B266" s="134" t="s">
        <v>209</v>
      </c>
      <c r="C266" s="134"/>
      <c r="D266" s="134"/>
      <c r="E266" s="135">
        <v>39598.54</v>
      </c>
      <c r="F266" s="262"/>
      <c r="G266" s="262"/>
      <c r="H266" s="136">
        <v>0</v>
      </c>
      <c r="I266" s="158">
        <v>0</v>
      </c>
      <c r="J266" s="158">
        <v>0</v>
      </c>
    </row>
    <row r="267" spans="1:10" x14ac:dyDescent="0.2">
      <c r="A267" s="133">
        <v>230</v>
      </c>
      <c r="B267" s="134" t="s">
        <v>210</v>
      </c>
      <c r="C267" s="134"/>
      <c r="D267" s="134"/>
      <c r="E267" s="135">
        <v>2400</v>
      </c>
      <c r="F267" s="262"/>
      <c r="G267" s="262"/>
      <c r="H267" s="136">
        <v>0</v>
      </c>
      <c r="I267" s="158">
        <v>0</v>
      </c>
      <c r="J267" s="158">
        <v>0</v>
      </c>
    </row>
    <row r="268" spans="1:10" x14ac:dyDescent="0.2">
      <c r="A268" s="133">
        <v>232</v>
      </c>
      <c r="B268" s="134" t="s">
        <v>211</v>
      </c>
      <c r="C268" s="134"/>
      <c r="D268" s="134"/>
      <c r="E268" s="135">
        <v>27719.17</v>
      </c>
      <c r="F268" s="262"/>
      <c r="G268" s="262"/>
      <c r="H268" s="136">
        <v>0</v>
      </c>
      <c r="I268" s="158">
        <v>0</v>
      </c>
      <c r="J268" s="158">
        <v>0</v>
      </c>
    </row>
    <row r="269" spans="1:10" x14ac:dyDescent="0.2">
      <c r="A269" s="133">
        <v>234</v>
      </c>
      <c r="B269" s="134" t="s">
        <v>212</v>
      </c>
      <c r="C269" s="134"/>
      <c r="D269" s="134"/>
      <c r="E269" s="135">
        <v>103200</v>
      </c>
      <c r="F269" s="262"/>
      <c r="G269" s="262"/>
      <c r="H269" s="136">
        <v>0</v>
      </c>
      <c r="I269" s="158">
        <v>0</v>
      </c>
      <c r="J269" s="158">
        <v>0</v>
      </c>
    </row>
    <row r="270" spans="1:10" x14ac:dyDescent="0.2">
      <c r="A270" s="133">
        <v>236</v>
      </c>
      <c r="B270" s="134" t="s">
        <v>213</v>
      </c>
      <c r="C270" s="134"/>
      <c r="D270" s="134"/>
      <c r="E270" s="135">
        <v>14090.9</v>
      </c>
      <c r="F270" s="262"/>
      <c r="G270" s="262"/>
      <c r="H270" s="136">
        <v>0</v>
      </c>
      <c r="I270" s="158">
        <v>0</v>
      </c>
      <c r="J270" s="158">
        <v>0</v>
      </c>
    </row>
    <row r="271" spans="1:10" x14ac:dyDescent="0.2">
      <c r="A271" s="133">
        <v>244</v>
      </c>
      <c r="B271" s="134" t="s">
        <v>217</v>
      </c>
      <c r="C271" s="134"/>
      <c r="D271" s="134"/>
      <c r="E271" s="135">
        <v>0</v>
      </c>
      <c r="F271" s="262"/>
      <c r="G271" s="262"/>
      <c r="H271" s="136">
        <v>0</v>
      </c>
      <c r="I271" s="158">
        <v>0</v>
      </c>
      <c r="J271" s="158">
        <v>0</v>
      </c>
    </row>
    <row r="272" spans="1:10" x14ac:dyDescent="0.2">
      <c r="A272" s="133">
        <v>246</v>
      </c>
      <c r="B272" s="134" t="s">
        <v>218</v>
      </c>
      <c r="C272" s="134"/>
      <c r="D272" s="134"/>
      <c r="E272" s="135">
        <v>725</v>
      </c>
      <c r="F272" s="262"/>
      <c r="G272" s="262"/>
      <c r="H272" s="136">
        <v>0</v>
      </c>
      <c r="I272" s="158">
        <v>0</v>
      </c>
      <c r="J272" s="158">
        <v>0</v>
      </c>
    </row>
    <row r="273" spans="1:10" x14ac:dyDescent="0.2">
      <c r="A273" s="133">
        <v>275</v>
      </c>
      <c r="B273" s="134" t="s">
        <v>228</v>
      </c>
      <c r="C273" s="134"/>
      <c r="D273" s="134"/>
      <c r="E273" s="135">
        <v>1022.25</v>
      </c>
      <c r="F273" s="262"/>
      <c r="G273" s="262"/>
      <c r="H273" s="136">
        <v>0</v>
      </c>
      <c r="I273" s="158">
        <v>0</v>
      </c>
      <c r="J273" s="158">
        <v>0</v>
      </c>
    </row>
    <row r="274" spans="1:10" x14ac:dyDescent="0.2">
      <c r="A274" s="133">
        <v>280</v>
      </c>
      <c r="B274" s="134" t="s">
        <v>233</v>
      </c>
      <c r="C274" s="134"/>
      <c r="D274" s="134"/>
      <c r="E274" s="135">
        <v>39969.07</v>
      </c>
      <c r="F274" s="262"/>
      <c r="G274" s="262"/>
      <c r="H274" s="136">
        <v>0</v>
      </c>
      <c r="I274" s="158">
        <v>0</v>
      </c>
      <c r="J274" s="158">
        <v>0</v>
      </c>
    </row>
    <row r="275" spans="1:10" ht="15" customHeight="1" x14ac:dyDescent="0.2">
      <c r="A275" s="156" t="s">
        <v>298</v>
      </c>
      <c r="B275" s="156"/>
      <c r="C275" s="156"/>
      <c r="D275" s="156"/>
      <c r="E275" s="157">
        <f t="shared" ref="E275:J275" si="46">SUM(E262:E274)</f>
        <v>315066.49000000005</v>
      </c>
      <c r="F275" s="264">
        <f t="shared" si="46"/>
        <v>0</v>
      </c>
      <c r="G275" s="157">
        <f t="shared" si="46"/>
        <v>0</v>
      </c>
      <c r="H275" s="157">
        <f t="shared" si="46"/>
        <v>0</v>
      </c>
      <c r="I275" s="157">
        <f t="shared" si="46"/>
        <v>0</v>
      </c>
      <c r="J275" s="157">
        <f t="shared" si="46"/>
        <v>0</v>
      </c>
    </row>
    <row r="276" spans="1:10" x14ac:dyDescent="0.2">
      <c r="A276" s="159" t="s">
        <v>299</v>
      </c>
      <c r="B276" s="159"/>
      <c r="C276" s="159"/>
      <c r="D276" s="159"/>
      <c r="E276" s="138">
        <f t="shared" ref="E276:J276" si="47">SUM(E260,E275)</f>
        <v>969649.8600000001</v>
      </c>
      <c r="F276" s="160">
        <f t="shared" si="47"/>
        <v>0</v>
      </c>
      <c r="G276" s="160">
        <f t="shared" si="47"/>
        <v>0</v>
      </c>
      <c r="H276" s="160">
        <f t="shared" si="47"/>
        <v>0</v>
      </c>
      <c r="I276" s="160">
        <f t="shared" si="47"/>
        <v>0</v>
      </c>
      <c r="J276" s="160">
        <f t="shared" si="47"/>
        <v>0</v>
      </c>
    </row>
    <row r="277" spans="1:10" x14ac:dyDescent="0.2">
      <c r="A277" s="129"/>
      <c r="B277" s="129"/>
      <c r="C277" s="129"/>
      <c r="D277" s="129"/>
      <c r="E277" s="129"/>
      <c r="F277" s="129"/>
      <c r="G277" s="129"/>
      <c r="H277" s="129"/>
      <c r="I277" s="129"/>
      <c r="J277" s="190"/>
    </row>
    <row r="278" spans="1:10" x14ac:dyDescent="0.2">
      <c r="A278" s="162" t="s">
        <v>15</v>
      </c>
      <c r="B278" s="162"/>
      <c r="C278" s="162"/>
      <c r="D278" s="162"/>
      <c r="E278" s="162"/>
      <c r="F278" s="162"/>
      <c r="G278" s="162"/>
      <c r="H278" s="162"/>
      <c r="I278" s="162"/>
      <c r="J278" s="162"/>
    </row>
    <row r="279" spans="1:10" ht="18.75" customHeight="1" x14ac:dyDescent="0.2">
      <c r="A279" s="131" t="s">
        <v>242</v>
      </c>
      <c r="B279" s="131"/>
      <c r="C279" s="131"/>
      <c r="D279" s="131"/>
      <c r="E279" s="128" t="str">
        <f t="shared" ref="E279:J279" si="48">E32</f>
        <v>Actuals           2014-2015</v>
      </c>
      <c r="F279" s="128" t="str">
        <f t="shared" si="48"/>
        <v>Approved Estimates          2015-2016</v>
      </c>
      <c r="G279" s="128" t="str">
        <f t="shared" si="48"/>
        <v>Revised Estimates                 2015-2016</v>
      </c>
      <c r="H279" s="128" t="str">
        <f t="shared" si="48"/>
        <v>Budget Estimates      2016-2017</v>
      </c>
      <c r="I279" s="128" t="str">
        <f t="shared" si="48"/>
        <v>Forward Estimates     2017-2018</v>
      </c>
      <c r="J279" s="128" t="str">
        <f t="shared" si="48"/>
        <v>Forward Estimates     2018-2019</v>
      </c>
    </row>
    <row r="280" spans="1:10" ht="15" customHeight="1" x14ac:dyDescent="0.2">
      <c r="A280" s="130" t="s">
        <v>243</v>
      </c>
      <c r="B280" s="130" t="s">
        <v>244</v>
      </c>
      <c r="C280" s="131" t="s">
        <v>245</v>
      </c>
      <c r="D280" s="131"/>
      <c r="E280" s="101"/>
      <c r="F280" s="101"/>
      <c r="G280" s="101"/>
      <c r="H280" s="101"/>
      <c r="I280" s="101"/>
      <c r="J280" s="101"/>
    </row>
    <row r="281" spans="1:10" x14ac:dyDescent="0.2">
      <c r="A281" s="163"/>
      <c r="B281" s="163"/>
      <c r="C281" s="385"/>
      <c r="D281" s="385"/>
      <c r="E281" s="158"/>
      <c r="F281" s="209"/>
      <c r="G281" s="158"/>
      <c r="H281" s="136"/>
      <c r="I281" s="158"/>
      <c r="J281" s="135"/>
    </row>
    <row r="282" spans="1:10" ht="15" customHeight="1" x14ac:dyDescent="0.2">
      <c r="A282" s="137" t="s">
        <v>15</v>
      </c>
      <c r="B282" s="137"/>
      <c r="C282" s="137"/>
      <c r="D282" s="137"/>
      <c r="E282" s="138">
        <v>0</v>
      </c>
      <c r="F282" s="138">
        <v>0</v>
      </c>
      <c r="G282" s="138">
        <v>0</v>
      </c>
      <c r="H282" s="138">
        <v>0</v>
      </c>
      <c r="I282" s="138">
        <v>0</v>
      </c>
      <c r="J282" s="138">
        <v>0</v>
      </c>
    </row>
    <row r="283" spans="1:10" ht="15" customHeight="1" x14ac:dyDescent="0.2">
      <c r="A283" s="290"/>
      <c r="B283" s="290"/>
      <c r="C283" s="290"/>
      <c r="D283" s="290"/>
      <c r="E283" s="290"/>
      <c r="F283" s="290"/>
      <c r="G283" s="290"/>
      <c r="H283" s="290"/>
      <c r="I283" s="290"/>
      <c r="J283" s="290"/>
    </row>
    <row r="284" spans="1:10" ht="15" customHeight="1" x14ac:dyDescent="0.2">
      <c r="A284" s="161" t="s">
        <v>288</v>
      </c>
      <c r="B284" s="161"/>
      <c r="C284" s="161"/>
      <c r="D284" s="161"/>
      <c r="E284" s="161"/>
      <c r="F284" s="202"/>
      <c r="G284" s="202"/>
      <c r="H284" s="202"/>
      <c r="I284" s="202"/>
      <c r="J284" s="202"/>
    </row>
    <row r="285" spans="1:10" ht="15" customHeight="1" x14ac:dyDescent="0.2">
      <c r="A285" s="131" t="s">
        <v>300</v>
      </c>
      <c r="B285" s="131"/>
      <c r="C285" s="131"/>
      <c r="D285" s="132" t="s">
        <v>301</v>
      </c>
      <c r="E285" s="291" t="s">
        <v>302</v>
      </c>
      <c r="F285" s="292"/>
      <c r="G285" s="220"/>
      <c r="H285" s="220"/>
      <c r="I285" s="220"/>
      <c r="J285" s="221"/>
    </row>
    <row r="286" spans="1:10" ht="15" customHeight="1" x14ac:dyDescent="0.2">
      <c r="A286" s="134"/>
      <c r="B286" s="134"/>
      <c r="C286" s="134"/>
      <c r="D286" s="133"/>
      <c r="E286" s="268"/>
      <c r="F286" s="293"/>
      <c r="G286" s="171"/>
      <c r="H286" s="171"/>
      <c r="I286" s="171"/>
      <c r="J286" s="174"/>
    </row>
    <row r="287" spans="1:10" x14ac:dyDescent="0.2">
      <c r="A287" s="159" t="s">
        <v>303</v>
      </c>
      <c r="B287" s="159"/>
      <c r="C287" s="159"/>
      <c r="D287" s="159"/>
      <c r="E287" s="294">
        <f>SUM(E286:E286)</f>
        <v>0</v>
      </c>
      <c r="F287" s="295"/>
      <c r="G287" s="177"/>
      <c r="H287" s="177"/>
      <c r="I287" s="177"/>
      <c r="J287" s="178"/>
    </row>
    <row r="288" spans="1:10" x14ac:dyDescent="0.2">
      <c r="A288" s="129"/>
      <c r="B288" s="129"/>
      <c r="C288" s="129"/>
      <c r="D288" s="129"/>
      <c r="E288" s="129"/>
      <c r="F288" s="179"/>
      <c r="G288" s="179"/>
      <c r="H288" s="179"/>
      <c r="I288" s="179"/>
      <c r="J288" s="179"/>
    </row>
    <row r="289" spans="1:10" x14ac:dyDescent="0.2">
      <c r="A289" s="180" t="s">
        <v>304</v>
      </c>
      <c r="B289" s="180"/>
      <c r="C289" s="180"/>
      <c r="D289" s="180"/>
      <c r="E289" s="180"/>
      <c r="F289" s="180"/>
      <c r="G289" s="180"/>
      <c r="H289" s="180"/>
      <c r="I289" s="180"/>
      <c r="J289" s="180"/>
    </row>
    <row r="290" spans="1:10" x14ac:dyDescent="0.2">
      <c r="A290" s="181" t="s">
        <v>305</v>
      </c>
      <c r="B290" s="181"/>
      <c r="C290" s="181"/>
      <c r="D290" s="181"/>
      <c r="E290" s="181"/>
      <c r="F290" s="181"/>
      <c r="G290" s="181"/>
      <c r="H290" s="181"/>
      <c r="I290" s="181"/>
      <c r="J290" s="181"/>
    </row>
    <row r="291" spans="1:10" x14ac:dyDescent="0.2">
      <c r="A291" s="129" t="s">
        <v>1003</v>
      </c>
      <c r="B291" s="129"/>
      <c r="C291" s="129"/>
      <c r="D291" s="129"/>
      <c r="E291" s="129"/>
      <c r="F291" s="129"/>
      <c r="G291" s="129"/>
      <c r="H291" s="129"/>
      <c r="I291" s="129"/>
      <c r="J291" s="129"/>
    </row>
    <row r="292" spans="1:10" x14ac:dyDescent="0.2">
      <c r="A292" s="129"/>
      <c r="B292" s="129"/>
      <c r="C292" s="129"/>
      <c r="D292" s="129"/>
      <c r="E292" s="129"/>
      <c r="F292" s="129"/>
      <c r="G292" s="129"/>
      <c r="H292" s="129"/>
      <c r="I292" s="129"/>
      <c r="J292" s="129"/>
    </row>
    <row r="293" spans="1:10" x14ac:dyDescent="0.2">
      <c r="A293" s="129"/>
      <c r="B293" s="129"/>
      <c r="C293" s="129"/>
      <c r="D293" s="129"/>
      <c r="E293" s="129"/>
      <c r="F293" s="129"/>
      <c r="G293" s="129"/>
      <c r="H293" s="129"/>
      <c r="I293" s="129"/>
      <c r="J293" s="129"/>
    </row>
    <row r="294" spans="1:10" x14ac:dyDescent="0.2">
      <c r="A294" s="183" t="s">
        <v>415</v>
      </c>
      <c r="B294" s="183"/>
      <c r="C294" s="183"/>
      <c r="D294" s="183"/>
      <c r="E294" s="183"/>
      <c r="F294" s="183"/>
      <c r="G294" s="183"/>
      <c r="H294" s="183"/>
      <c r="I294" s="183"/>
      <c r="J294" s="183"/>
    </row>
    <row r="295" spans="1:10" x14ac:dyDescent="0.2">
      <c r="A295" s="129"/>
      <c r="B295" s="129"/>
      <c r="C295" s="129"/>
      <c r="D295" s="129"/>
      <c r="E295" s="129"/>
      <c r="F295" s="129"/>
      <c r="G295" s="129"/>
      <c r="H295" s="129"/>
      <c r="I295" s="129"/>
      <c r="J295" s="129"/>
    </row>
    <row r="296" spans="1:10" x14ac:dyDescent="0.2">
      <c r="A296" s="129"/>
      <c r="B296" s="129"/>
      <c r="C296" s="129"/>
      <c r="D296" s="129"/>
      <c r="E296" s="129"/>
      <c r="F296" s="129"/>
      <c r="G296" s="129"/>
      <c r="H296" s="129"/>
      <c r="I296" s="129"/>
      <c r="J296" s="129"/>
    </row>
    <row r="297" spans="1:10" x14ac:dyDescent="0.2">
      <c r="A297" s="129"/>
      <c r="B297" s="129"/>
      <c r="C297" s="129"/>
      <c r="D297" s="129"/>
      <c r="E297" s="129"/>
      <c r="F297" s="129"/>
      <c r="G297" s="129"/>
      <c r="H297" s="129"/>
      <c r="I297" s="129"/>
      <c r="J297" s="129"/>
    </row>
    <row r="298" spans="1:10" x14ac:dyDescent="0.2">
      <c r="A298" s="129"/>
      <c r="B298" s="129"/>
      <c r="C298" s="129"/>
      <c r="D298" s="129"/>
      <c r="E298" s="129"/>
      <c r="F298" s="129"/>
      <c r="G298" s="129"/>
      <c r="H298" s="129"/>
      <c r="I298" s="129"/>
      <c r="J298" s="129"/>
    </row>
    <row r="299" spans="1:10" ht="22.5" x14ac:dyDescent="0.2">
      <c r="A299" s="180" t="s">
        <v>315</v>
      </c>
      <c r="B299" s="180"/>
      <c r="C299" s="180"/>
      <c r="D299" s="180"/>
      <c r="E299" s="180"/>
      <c r="F299" s="184" t="str">
        <f>F121</f>
        <v xml:space="preserve"> Actual 2014-2015</v>
      </c>
      <c r="G299" s="184" t="str">
        <f>G121</f>
        <v xml:space="preserve"> Estimate 2015-2016</v>
      </c>
      <c r="H299" s="184" t="str">
        <f>H121</f>
        <v xml:space="preserve"> Target 2016-2017</v>
      </c>
      <c r="I299" s="184" t="str">
        <f>I121</f>
        <v xml:space="preserve"> Target 2017-2018</v>
      </c>
      <c r="J299" s="184" t="str">
        <f>J121</f>
        <v xml:space="preserve"> Target 2018-2019</v>
      </c>
    </row>
    <row r="300" spans="1:10" x14ac:dyDescent="0.2">
      <c r="A300" s="180" t="s">
        <v>316</v>
      </c>
      <c r="B300" s="180"/>
      <c r="C300" s="180"/>
      <c r="D300" s="180"/>
      <c r="E300" s="180"/>
      <c r="F300" s="180"/>
      <c r="G300" s="180"/>
      <c r="H300" s="180"/>
      <c r="I300" s="180"/>
      <c r="J300" s="180"/>
    </row>
    <row r="301" spans="1:10" x14ac:dyDescent="0.2">
      <c r="A301" s="344" t="s">
        <v>1004</v>
      </c>
      <c r="B301" s="344"/>
      <c r="C301" s="344"/>
      <c r="D301" s="344"/>
      <c r="E301" s="344"/>
      <c r="F301" s="361"/>
      <c r="G301" s="362"/>
      <c r="H301" s="190"/>
      <c r="I301" s="190"/>
      <c r="J301" s="190"/>
    </row>
    <row r="302" spans="1:10" x14ac:dyDescent="0.2">
      <c r="A302" s="344" t="s">
        <v>1005</v>
      </c>
      <c r="B302" s="344"/>
      <c r="C302" s="344"/>
      <c r="D302" s="344"/>
      <c r="E302" s="344"/>
      <c r="F302" s="361"/>
      <c r="G302" s="362"/>
      <c r="H302" s="190"/>
      <c r="I302" s="190"/>
      <c r="J302" s="190"/>
    </row>
    <row r="303" spans="1:10" x14ac:dyDescent="0.2">
      <c r="A303" s="344" t="s">
        <v>1006</v>
      </c>
      <c r="B303" s="344"/>
      <c r="C303" s="344"/>
      <c r="D303" s="344"/>
      <c r="E303" s="344"/>
      <c r="F303" s="361"/>
      <c r="G303" s="362"/>
      <c r="H303" s="190"/>
      <c r="I303" s="190"/>
      <c r="J303" s="190"/>
    </row>
    <row r="304" spans="1:10" x14ac:dyDescent="0.2">
      <c r="A304" s="188" t="s">
        <v>660</v>
      </c>
      <c r="B304" s="188"/>
      <c r="C304" s="188"/>
      <c r="D304" s="188"/>
      <c r="E304" s="188"/>
      <c r="F304" s="273"/>
      <c r="G304" s="190"/>
      <c r="H304" s="190"/>
      <c r="I304" s="190"/>
      <c r="J304" s="190"/>
    </row>
    <row r="305" spans="1:10" ht="25.5" customHeight="1" x14ac:dyDescent="0.2">
      <c r="A305" s="180" t="s">
        <v>324</v>
      </c>
      <c r="B305" s="180"/>
      <c r="C305" s="180"/>
      <c r="D305" s="180"/>
      <c r="E305" s="180"/>
      <c r="F305" s="180"/>
      <c r="G305" s="180"/>
      <c r="H305" s="180"/>
      <c r="I305" s="180"/>
      <c r="J305" s="180"/>
    </row>
    <row r="306" spans="1:10" x14ac:dyDescent="0.2">
      <c r="A306" s="344" t="s">
        <v>1007</v>
      </c>
      <c r="B306" s="344"/>
      <c r="C306" s="344"/>
      <c r="D306" s="344"/>
      <c r="E306" s="344"/>
      <c r="F306" s="361"/>
      <c r="G306" s="190"/>
      <c r="H306" s="190"/>
      <c r="I306" s="190"/>
      <c r="J306" s="190"/>
    </row>
    <row r="307" spans="1:10" x14ac:dyDescent="0.2">
      <c r="A307" s="344" t="s">
        <v>1008</v>
      </c>
      <c r="B307" s="344"/>
      <c r="C307" s="344"/>
      <c r="D307" s="344"/>
      <c r="E307" s="344"/>
      <c r="F307" s="361"/>
      <c r="G307" s="190"/>
      <c r="H307" s="190"/>
      <c r="I307" s="190"/>
      <c r="J307" s="190"/>
    </row>
    <row r="308" spans="1:10" x14ac:dyDescent="0.2">
      <c r="A308" s="344" t="s">
        <v>1009</v>
      </c>
      <c r="B308" s="344"/>
      <c r="C308" s="344"/>
      <c r="D308" s="344"/>
      <c r="E308" s="344"/>
      <c r="F308" s="361"/>
      <c r="G308" s="190"/>
      <c r="H308" s="190"/>
      <c r="I308" s="190"/>
      <c r="J308" s="190"/>
    </row>
    <row r="309" spans="1:10" x14ac:dyDescent="0.2">
      <c r="A309" s="307"/>
      <c r="B309" s="308"/>
      <c r="C309" s="308"/>
      <c r="D309" s="308"/>
      <c r="E309" s="308"/>
      <c r="F309" s="308"/>
      <c r="G309" s="308"/>
      <c r="H309" s="308"/>
      <c r="I309" s="308"/>
      <c r="J309" s="309"/>
    </row>
    <row r="311" spans="1:10" x14ac:dyDescent="0.2">
      <c r="A311" s="222"/>
      <c r="B311" s="222"/>
      <c r="C311" s="222"/>
      <c r="D311" s="222"/>
      <c r="E311" s="274" t="s">
        <v>382</v>
      </c>
      <c r="F311" s="229"/>
      <c r="G311" s="222"/>
      <c r="H311" s="222"/>
      <c r="I311" s="222"/>
      <c r="J311" s="223" t="s">
        <v>766</v>
      </c>
    </row>
    <row r="312" spans="1:10" ht="34.5" thickBot="1" x14ac:dyDescent="0.25">
      <c r="A312" s="224"/>
      <c r="B312" s="224" t="s">
        <v>188</v>
      </c>
      <c r="C312" s="225"/>
      <c r="D312" s="226"/>
      <c r="E312" s="184" t="str">
        <f t="shared" ref="E312:J312" si="49">E32</f>
        <v>Actuals           2014-2015</v>
      </c>
      <c r="F312" s="184" t="str">
        <f t="shared" si="49"/>
        <v>Approved Estimates          2015-2016</v>
      </c>
      <c r="G312" s="184" t="str">
        <f t="shared" si="49"/>
        <v>Revised Estimates                 2015-2016</v>
      </c>
      <c r="H312" s="184" t="str">
        <f t="shared" si="49"/>
        <v>Budget Estimates      2016-2017</v>
      </c>
      <c r="I312" s="184" t="str">
        <f t="shared" si="49"/>
        <v>Forward Estimates     2017-2018</v>
      </c>
      <c r="J312" s="184" t="str">
        <f t="shared" si="49"/>
        <v>Forward Estimates     2018-2019</v>
      </c>
    </row>
    <row r="313" spans="1:10" x14ac:dyDescent="0.2">
      <c r="A313" s="227"/>
      <c r="B313" s="227"/>
      <c r="C313" s="227"/>
      <c r="D313" s="227"/>
      <c r="E313" s="227"/>
      <c r="F313" s="227"/>
      <c r="G313" s="227"/>
      <c r="H313" s="227"/>
      <c r="I313" s="228"/>
      <c r="J313" s="227"/>
    </row>
    <row r="314" spans="1:10" x14ac:dyDescent="0.2">
      <c r="A314" s="229" t="s">
        <v>7</v>
      </c>
      <c r="B314" s="229"/>
      <c r="C314" s="229"/>
      <c r="D314" s="229"/>
      <c r="E314" s="222"/>
      <c r="F314" s="230"/>
      <c r="G314" s="230"/>
      <c r="H314" s="230"/>
      <c r="I314" s="222"/>
      <c r="J314" s="222"/>
    </row>
    <row r="315" spans="1:10" x14ac:dyDescent="0.2">
      <c r="A315" s="222"/>
      <c r="B315" s="222" t="s">
        <v>1010</v>
      </c>
      <c r="C315" s="222"/>
      <c r="D315" s="222"/>
      <c r="E315" s="231">
        <f t="shared" ref="E315:J315" si="50">E80</f>
        <v>301447.32</v>
      </c>
      <c r="F315" s="231">
        <f t="shared" si="50"/>
        <v>0</v>
      </c>
      <c r="G315" s="231">
        <f t="shared" si="50"/>
        <v>0</v>
      </c>
      <c r="H315" s="231">
        <f t="shared" si="50"/>
        <v>0</v>
      </c>
      <c r="I315" s="231">
        <f t="shared" si="50"/>
        <v>0</v>
      </c>
      <c r="J315" s="231">
        <f t="shared" si="50"/>
        <v>0</v>
      </c>
    </row>
    <row r="316" spans="1:10" x14ac:dyDescent="0.2">
      <c r="A316" s="222"/>
      <c r="B316" s="222" t="s">
        <v>956</v>
      </c>
      <c r="C316" s="222"/>
      <c r="D316" s="222"/>
      <c r="E316" s="231">
        <f t="shared" ref="E316:J316" si="51">E142</f>
        <v>192516</v>
      </c>
      <c r="F316" s="231">
        <f t="shared" si="51"/>
        <v>0</v>
      </c>
      <c r="G316" s="231">
        <f t="shared" si="51"/>
        <v>0</v>
      </c>
      <c r="H316" s="231">
        <f t="shared" si="51"/>
        <v>0</v>
      </c>
      <c r="I316" s="231">
        <f t="shared" si="51"/>
        <v>0</v>
      </c>
      <c r="J316" s="231">
        <f t="shared" si="51"/>
        <v>0</v>
      </c>
    </row>
    <row r="317" spans="1:10" x14ac:dyDescent="0.2">
      <c r="A317" s="222"/>
      <c r="B317" s="222" t="s">
        <v>123</v>
      </c>
      <c r="C317" s="222"/>
      <c r="D317" s="222"/>
      <c r="E317" s="231">
        <f t="shared" ref="E317:J317" si="52">E199</f>
        <v>467465.12</v>
      </c>
      <c r="F317" s="231">
        <f t="shared" si="52"/>
        <v>0</v>
      </c>
      <c r="G317" s="231">
        <f t="shared" si="52"/>
        <v>0</v>
      </c>
      <c r="H317" s="231">
        <f t="shared" si="52"/>
        <v>0</v>
      </c>
      <c r="I317" s="231">
        <f t="shared" si="52"/>
        <v>0</v>
      </c>
      <c r="J317" s="231">
        <f t="shared" si="52"/>
        <v>0</v>
      </c>
    </row>
    <row r="318" spans="1:10" x14ac:dyDescent="0.2">
      <c r="A318" s="222"/>
      <c r="B318" s="222" t="s">
        <v>119</v>
      </c>
      <c r="C318" s="222"/>
      <c r="D318" s="222"/>
      <c r="E318" s="231">
        <f t="shared" ref="E318:J318" si="53">E256</f>
        <v>602089.25</v>
      </c>
      <c r="F318" s="231">
        <f t="shared" si="53"/>
        <v>0</v>
      </c>
      <c r="G318" s="231">
        <f t="shared" si="53"/>
        <v>0</v>
      </c>
      <c r="H318" s="231">
        <f t="shared" si="53"/>
        <v>0</v>
      </c>
      <c r="I318" s="231">
        <f t="shared" si="53"/>
        <v>0</v>
      </c>
      <c r="J318" s="231">
        <f t="shared" si="53"/>
        <v>0</v>
      </c>
    </row>
    <row r="319" spans="1:10" ht="15" thickBot="1" x14ac:dyDescent="0.25">
      <c r="A319" s="222"/>
      <c r="B319" s="222"/>
      <c r="C319" s="229" t="s">
        <v>385</v>
      </c>
      <c r="D319" s="235"/>
      <c r="E319" s="236">
        <f t="shared" ref="E319:J319" si="54">SUM(E315:E318)</f>
        <v>1563517.69</v>
      </c>
      <c r="F319" s="236">
        <f t="shared" si="54"/>
        <v>0</v>
      </c>
      <c r="G319" s="236">
        <f t="shared" si="54"/>
        <v>0</v>
      </c>
      <c r="H319" s="236">
        <f t="shared" si="54"/>
        <v>0</v>
      </c>
      <c r="I319" s="236">
        <f t="shared" si="54"/>
        <v>0</v>
      </c>
      <c r="J319" s="236">
        <f t="shared" si="54"/>
        <v>0</v>
      </c>
    </row>
    <row r="320" spans="1:10" x14ac:dyDescent="0.2">
      <c r="A320" s="237" t="s">
        <v>196</v>
      </c>
      <c r="B320" s="237"/>
      <c r="C320" s="233"/>
      <c r="D320" s="238"/>
      <c r="E320" s="242"/>
      <c r="F320" s="242"/>
      <c r="G320" s="242"/>
      <c r="H320" s="227"/>
      <c r="I320" s="227"/>
      <c r="J320" s="227"/>
    </row>
    <row r="321" spans="1:10" x14ac:dyDescent="0.2">
      <c r="A321" s="222"/>
      <c r="B321" s="222" t="s">
        <v>1010</v>
      </c>
      <c r="C321" s="222"/>
      <c r="D321" s="222"/>
      <c r="E321" s="231">
        <f t="shared" ref="E321:J321" si="55">E81</f>
        <v>0</v>
      </c>
      <c r="F321" s="231">
        <f t="shared" si="55"/>
        <v>0</v>
      </c>
      <c r="G321" s="231">
        <f t="shared" si="55"/>
        <v>0</v>
      </c>
      <c r="H321" s="231">
        <f t="shared" si="55"/>
        <v>0</v>
      </c>
      <c r="I321" s="231">
        <f t="shared" si="55"/>
        <v>0</v>
      </c>
      <c r="J321" s="231">
        <f t="shared" si="55"/>
        <v>0</v>
      </c>
    </row>
    <row r="322" spans="1:10" x14ac:dyDescent="0.2">
      <c r="A322" s="222"/>
      <c r="B322" s="222" t="s">
        <v>956</v>
      </c>
      <c r="C322" s="222"/>
      <c r="D322" s="222"/>
      <c r="E322" s="231">
        <f t="shared" ref="E322:J322" si="56">E143</f>
        <v>0</v>
      </c>
      <c r="F322" s="231">
        <f t="shared" si="56"/>
        <v>0</v>
      </c>
      <c r="G322" s="231">
        <f t="shared" si="56"/>
        <v>0</v>
      </c>
      <c r="H322" s="231">
        <f t="shared" si="56"/>
        <v>0</v>
      </c>
      <c r="I322" s="231">
        <f t="shared" si="56"/>
        <v>0</v>
      </c>
      <c r="J322" s="231">
        <f t="shared" si="56"/>
        <v>0</v>
      </c>
    </row>
    <row r="323" spans="1:10" x14ac:dyDescent="0.2">
      <c r="A323" s="222"/>
      <c r="B323" s="222" t="s">
        <v>123</v>
      </c>
      <c r="C323" s="222"/>
      <c r="D323" s="222"/>
      <c r="E323" s="231">
        <f t="shared" ref="E323:J323" si="57">E200</f>
        <v>0</v>
      </c>
      <c r="F323" s="231">
        <f t="shared" si="57"/>
        <v>0</v>
      </c>
      <c r="G323" s="231">
        <f t="shared" si="57"/>
        <v>0</v>
      </c>
      <c r="H323" s="231">
        <f t="shared" si="57"/>
        <v>0</v>
      </c>
      <c r="I323" s="231">
        <f t="shared" si="57"/>
        <v>0</v>
      </c>
      <c r="J323" s="231">
        <f t="shared" si="57"/>
        <v>0</v>
      </c>
    </row>
    <row r="324" spans="1:10" x14ac:dyDescent="0.2">
      <c r="A324" s="222"/>
      <c r="B324" s="222" t="s">
        <v>119</v>
      </c>
      <c r="C324" s="222"/>
      <c r="D324" s="222"/>
      <c r="E324" s="231">
        <f t="shared" ref="E324:J324" si="58">E257</f>
        <v>8815.0499999999993</v>
      </c>
      <c r="F324" s="231">
        <f t="shared" si="58"/>
        <v>0</v>
      </c>
      <c r="G324" s="231">
        <f t="shared" si="58"/>
        <v>0</v>
      </c>
      <c r="H324" s="231">
        <f t="shared" si="58"/>
        <v>0</v>
      </c>
      <c r="I324" s="231">
        <f t="shared" si="58"/>
        <v>0</v>
      </c>
      <c r="J324" s="231">
        <f t="shared" si="58"/>
        <v>0</v>
      </c>
    </row>
    <row r="325" spans="1:10" ht="15" thickBot="1" x14ac:dyDescent="0.25">
      <c r="A325" s="229"/>
      <c r="B325" s="229"/>
      <c r="C325" s="229" t="s">
        <v>386</v>
      </c>
      <c r="D325" s="239"/>
      <c r="E325" s="236">
        <f t="shared" ref="E325:J325" si="59">SUM(E321:E324)</f>
        <v>8815.0499999999993</v>
      </c>
      <c r="F325" s="236">
        <f t="shared" si="59"/>
        <v>0</v>
      </c>
      <c r="G325" s="236">
        <f t="shared" si="59"/>
        <v>0</v>
      </c>
      <c r="H325" s="236">
        <f t="shared" si="59"/>
        <v>0</v>
      </c>
      <c r="I325" s="236">
        <f t="shared" si="59"/>
        <v>0</v>
      </c>
      <c r="J325" s="236">
        <f t="shared" si="59"/>
        <v>0</v>
      </c>
    </row>
    <row r="326" spans="1:10" x14ac:dyDescent="0.2">
      <c r="A326" s="229" t="s">
        <v>387</v>
      </c>
      <c r="B326" s="222"/>
      <c r="C326" s="222"/>
      <c r="D326" s="240"/>
      <c r="E326" s="241"/>
      <c r="F326" s="241"/>
      <c r="G326" s="241"/>
      <c r="H326" s="241"/>
      <c r="I326" s="241"/>
      <c r="J326" s="241"/>
    </row>
    <row r="327" spans="1:10" x14ac:dyDescent="0.2">
      <c r="A327" s="222"/>
      <c r="B327" s="222" t="s">
        <v>1010</v>
      </c>
      <c r="C327" s="222"/>
      <c r="D327" s="222"/>
      <c r="E327" s="231">
        <f t="shared" ref="E327:J327" si="60">E82</f>
        <v>57616.23</v>
      </c>
      <c r="F327" s="231">
        <f t="shared" si="60"/>
        <v>0</v>
      </c>
      <c r="G327" s="231">
        <f t="shared" si="60"/>
        <v>0</v>
      </c>
      <c r="H327" s="231">
        <f t="shared" si="60"/>
        <v>0</v>
      </c>
      <c r="I327" s="231">
        <f t="shared" si="60"/>
        <v>0</v>
      </c>
      <c r="J327" s="231">
        <f t="shared" si="60"/>
        <v>0</v>
      </c>
    </row>
    <row r="328" spans="1:10" x14ac:dyDescent="0.2">
      <c r="A328" s="222"/>
      <c r="B328" s="222" t="s">
        <v>956</v>
      </c>
      <c r="C328" s="222"/>
      <c r="D328" s="222"/>
      <c r="E328" s="231">
        <f t="shared" ref="E328:J328" si="61">E144</f>
        <v>42091.03</v>
      </c>
      <c r="F328" s="231">
        <f t="shared" si="61"/>
        <v>0</v>
      </c>
      <c r="G328" s="231">
        <f t="shared" si="61"/>
        <v>0</v>
      </c>
      <c r="H328" s="231">
        <f t="shared" si="61"/>
        <v>0</v>
      </c>
      <c r="I328" s="231">
        <f t="shared" si="61"/>
        <v>0</v>
      </c>
      <c r="J328" s="231">
        <f t="shared" si="61"/>
        <v>0</v>
      </c>
    </row>
    <row r="329" spans="1:10" x14ac:dyDescent="0.2">
      <c r="A329" s="222"/>
      <c r="B329" s="222" t="s">
        <v>123</v>
      </c>
      <c r="C329" s="222"/>
      <c r="D329" s="222"/>
      <c r="E329" s="231">
        <f t="shared" ref="E329:J329" si="62">E201</f>
        <v>79440</v>
      </c>
      <c r="F329" s="231">
        <f t="shared" si="62"/>
        <v>0</v>
      </c>
      <c r="G329" s="231">
        <f t="shared" si="62"/>
        <v>0</v>
      </c>
      <c r="H329" s="231">
        <f t="shared" si="62"/>
        <v>0</v>
      </c>
      <c r="I329" s="231">
        <f t="shared" si="62"/>
        <v>0</v>
      </c>
      <c r="J329" s="231">
        <f t="shared" si="62"/>
        <v>0</v>
      </c>
    </row>
    <row r="330" spans="1:10" x14ac:dyDescent="0.2">
      <c r="A330" s="222"/>
      <c r="B330" s="222" t="s">
        <v>119</v>
      </c>
      <c r="C330" s="222"/>
      <c r="D330" s="222"/>
      <c r="E330" s="231">
        <f t="shared" ref="E330:J330" si="63">E258</f>
        <v>36045.57</v>
      </c>
      <c r="F330" s="231">
        <f t="shared" si="63"/>
        <v>0</v>
      </c>
      <c r="G330" s="231">
        <f t="shared" si="63"/>
        <v>0</v>
      </c>
      <c r="H330" s="231">
        <f t="shared" si="63"/>
        <v>0</v>
      </c>
      <c r="I330" s="231">
        <f t="shared" si="63"/>
        <v>0</v>
      </c>
      <c r="J330" s="231">
        <f t="shared" si="63"/>
        <v>0</v>
      </c>
    </row>
    <row r="331" spans="1:10" ht="15" thickBot="1" x14ac:dyDescent="0.25">
      <c r="A331" s="222"/>
      <c r="B331" s="222"/>
      <c r="C331" s="229" t="s">
        <v>388</v>
      </c>
      <c r="D331" s="240"/>
      <c r="E331" s="236">
        <f t="shared" ref="E331:J331" si="64">SUM(E327:E330)</f>
        <v>215192.83000000002</v>
      </c>
      <c r="F331" s="236">
        <f t="shared" si="64"/>
        <v>0</v>
      </c>
      <c r="G331" s="236">
        <f t="shared" si="64"/>
        <v>0</v>
      </c>
      <c r="H331" s="236">
        <f t="shared" si="64"/>
        <v>0</v>
      </c>
      <c r="I331" s="236">
        <f t="shared" si="64"/>
        <v>0</v>
      </c>
      <c r="J331" s="236">
        <f t="shared" si="64"/>
        <v>0</v>
      </c>
    </row>
    <row r="332" spans="1:10" x14ac:dyDescent="0.2">
      <c r="A332" s="240"/>
      <c r="B332" s="229"/>
      <c r="C332" s="222"/>
      <c r="D332" s="240"/>
      <c r="E332" s="242"/>
      <c r="F332" s="242"/>
      <c r="G332" s="242"/>
      <c r="H332" s="242"/>
      <c r="I332" s="242"/>
      <c r="J332" s="242"/>
    </row>
    <row r="333" spans="1:10" x14ac:dyDescent="0.2">
      <c r="A333" s="229" t="s">
        <v>198</v>
      </c>
      <c r="B333" s="222"/>
      <c r="C333" s="222"/>
      <c r="D333" s="240"/>
      <c r="E333" s="230"/>
      <c r="F333" s="230"/>
      <c r="G333" s="230"/>
      <c r="H333" s="230"/>
      <c r="I333" s="230"/>
      <c r="J333" s="230"/>
    </row>
    <row r="334" spans="1:10" x14ac:dyDescent="0.2">
      <c r="A334" s="222"/>
      <c r="B334" s="222" t="s">
        <v>1010</v>
      </c>
      <c r="C334" s="222"/>
      <c r="D334" s="222"/>
      <c r="E334" s="231">
        <f t="shared" ref="E334:J334" si="65">E83</f>
        <v>10910.16</v>
      </c>
      <c r="F334" s="231">
        <f t="shared" si="65"/>
        <v>0</v>
      </c>
      <c r="G334" s="231">
        <f t="shared" si="65"/>
        <v>0</v>
      </c>
      <c r="H334" s="231">
        <f t="shared" si="65"/>
        <v>0</v>
      </c>
      <c r="I334" s="231">
        <f t="shared" si="65"/>
        <v>0</v>
      </c>
      <c r="J334" s="231">
        <f t="shared" si="65"/>
        <v>0</v>
      </c>
    </row>
    <row r="335" spans="1:10" x14ac:dyDescent="0.2">
      <c r="A335" s="222"/>
      <c r="B335" s="222" t="s">
        <v>956</v>
      </c>
      <c r="C335" s="222"/>
      <c r="D335" s="222"/>
      <c r="E335" s="231">
        <f t="shared" ref="E335:J335" si="66">E145</f>
        <v>0</v>
      </c>
      <c r="F335" s="231">
        <f t="shared" si="66"/>
        <v>0</v>
      </c>
      <c r="G335" s="231">
        <f t="shared" si="66"/>
        <v>0</v>
      </c>
      <c r="H335" s="231">
        <f t="shared" si="66"/>
        <v>0</v>
      </c>
      <c r="I335" s="231">
        <f t="shared" si="66"/>
        <v>0</v>
      </c>
      <c r="J335" s="231">
        <f t="shared" si="66"/>
        <v>0</v>
      </c>
    </row>
    <row r="336" spans="1:10" x14ac:dyDescent="0.2">
      <c r="A336" s="222"/>
      <c r="B336" s="222" t="s">
        <v>123</v>
      </c>
      <c r="C336" s="222"/>
      <c r="D336" s="222"/>
      <c r="E336" s="231">
        <f t="shared" ref="E336:J336" si="67">E202</f>
        <v>0</v>
      </c>
      <c r="F336" s="231">
        <f t="shared" si="67"/>
        <v>0</v>
      </c>
      <c r="G336" s="231">
        <f t="shared" si="67"/>
        <v>0</v>
      </c>
      <c r="H336" s="231">
        <f t="shared" si="67"/>
        <v>0</v>
      </c>
      <c r="I336" s="231">
        <f t="shared" si="67"/>
        <v>0</v>
      </c>
      <c r="J336" s="231">
        <f t="shared" si="67"/>
        <v>0</v>
      </c>
    </row>
    <row r="337" spans="1:10" x14ac:dyDescent="0.2">
      <c r="A337" s="222"/>
      <c r="B337" s="222" t="s">
        <v>119</v>
      </c>
      <c r="C337" s="222"/>
      <c r="D337" s="222"/>
      <c r="E337" s="231">
        <f t="shared" ref="E337:J337" si="68">E259</f>
        <v>7633.5</v>
      </c>
      <c r="F337" s="231">
        <f t="shared" si="68"/>
        <v>0</v>
      </c>
      <c r="G337" s="231">
        <f t="shared" si="68"/>
        <v>0</v>
      </c>
      <c r="H337" s="231">
        <f t="shared" si="68"/>
        <v>0</v>
      </c>
      <c r="I337" s="231">
        <f t="shared" si="68"/>
        <v>0</v>
      </c>
      <c r="J337" s="231">
        <f t="shared" si="68"/>
        <v>0</v>
      </c>
    </row>
    <row r="338" spans="1:10" ht="15" thickBot="1" x14ac:dyDescent="0.25">
      <c r="A338" s="222"/>
      <c r="B338" s="222"/>
      <c r="C338" s="229" t="s">
        <v>389</v>
      </c>
      <c r="D338" s="240"/>
      <c r="E338" s="236">
        <f t="shared" ref="E338:J338" si="69">SUM(E334:E337)</f>
        <v>18543.66</v>
      </c>
      <c r="F338" s="236">
        <f t="shared" si="69"/>
        <v>0</v>
      </c>
      <c r="G338" s="236">
        <f t="shared" si="69"/>
        <v>0</v>
      </c>
      <c r="H338" s="236">
        <f t="shared" si="69"/>
        <v>0</v>
      </c>
      <c r="I338" s="236">
        <f t="shared" si="69"/>
        <v>0</v>
      </c>
      <c r="J338" s="236">
        <f t="shared" si="69"/>
        <v>0</v>
      </c>
    </row>
    <row r="339" spans="1:10" x14ac:dyDescent="0.2">
      <c r="A339" s="240"/>
      <c r="B339" s="229"/>
      <c r="C339" s="222"/>
      <c r="D339" s="240"/>
      <c r="E339" s="242"/>
      <c r="F339" s="242"/>
      <c r="G339" s="242"/>
      <c r="H339" s="242"/>
      <c r="I339" s="242"/>
      <c r="J339" s="242"/>
    </row>
    <row r="340" spans="1:10" x14ac:dyDescent="0.2">
      <c r="A340" s="243" t="s">
        <v>296</v>
      </c>
      <c r="B340" s="229"/>
      <c r="C340" s="222"/>
      <c r="D340" s="240"/>
      <c r="E340" s="230"/>
      <c r="F340" s="230"/>
      <c r="G340" s="230"/>
      <c r="H340" s="230"/>
      <c r="I340" s="230"/>
      <c r="J340" s="230"/>
    </row>
    <row r="341" spans="1:10" x14ac:dyDescent="0.2">
      <c r="A341" s="233"/>
      <c r="B341" s="222" t="s">
        <v>1010</v>
      </c>
      <c r="C341" s="222"/>
      <c r="D341" s="222"/>
      <c r="E341" s="231">
        <f t="shared" ref="E341:J341" si="70">E95</f>
        <v>423701.82</v>
      </c>
      <c r="F341" s="231">
        <f t="shared" si="70"/>
        <v>0</v>
      </c>
      <c r="G341" s="231">
        <f t="shared" si="70"/>
        <v>0</v>
      </c>
      <c r="H341" s="231">
        <f t="shared" si="70"/>
        <v>0</v>
      </c>
      <c r="I341" s="231">
        <f t="shared" si="70"/>
        <v>0</v>
      </c>
      <c r="J341" s="231">
        <f t="shared" si="70"/>
        <v>0</v>
      </c>
    </row>
    <row r="342" spans="1:10" x14ac:dyDescent="0.2">
      <c r="A342" s="233"/>
      <c r="B342" s="222" t="s">
        <v>956</v>
      </c>
      <c r="C342" s="222"/>
      <c r="D342" s="222"/>
      <c r="E342" s="231">
        <f t="shared" ref="E342:J342" si="71">E152</f>
        <v>3192.55</v>
      </c>
      <c r="F342" s="231">
        <f t="shared" si="71"/>
        <v>0</v>
      </c>
      <c r="G342" s="231">
        <f t="shared" si="71"/>
        <v>0</v>
      </c>
      <c r="H342" s="231">
        <f t="shared" si="71"/>
        <v>0</v>
      </c>
      <c r="I342" s="231">
        <f t="shared" si="71"/>
        <v>0</v>
      </c>
      <c r="J342" s="231">
        <f t="shared" si="71"/>
        <v>0</v>
      </c>
    </row>
    <row r="343" spans="1:10" x14ac:dyDescent="0.2">
      <c r="A343" s="233"/>
      <c r="B343" s="222" t="s">
        <v>123</v>
      </c>
      <c r="C343" s="222"/>
      <c r="D343" s="222"/>
      <c r="E343" s="231">
        <f t="shared" ref="E343:J343" si="72">E210</f>
        <v>1278644.6100000001</v>
      </c>
      <c r="F343" s="231">
        <f t="shared" si="72"/>
        <v>0</v>
      </c>
      <c r="G343" s="231">
        <f t="shared" si="72"/>
        <v>0</v>
      </c>
      <c r="H343" s="231">
        <f t="shared" si="72"/>
        <v>0</v>
      </c>
      <c r="I343" s="231">
        <f t="shared" si="72"/>
        <v>0</v>
      </c>
      <c r="J343" s="231">
        <f t="shared" si="72"/>
        <v>0</v>
      </c>
    </row>
    <row r="344" spans="1:10" x14ac:dyDescent="0.2">
      <c r="A344" s="233"/>
      <c r="B344" s="222" t="s">
        <v>119</v>
      </c>
      <c r="C344" s="222"/>
      <c r="D344" s="222"/>
      <c r="E344" s="231">
        <f t="shared" ref="E344:J344" si="73">E275</f>
        <v>315066.49000000005</v>
      </c>
      <c r="F344" s="231">
        <f t="shared" si="73"/>
        <v>0</v>
      </c>
      <c r="G344" s="231">
        <f t="shared" si="73"/>
        <v>0</v>
      </c>
      <c r="H344" s="231">
        <f t="shared" si="73"/>
        <v>0</v>
      </c>
      <c r="I344" s="231">
        <f t="shared" si="73"/>
        <v>0</v>
      </c>
      <c r="J344" s="231">
        <f t="shared" si="73"/>
        <v>0</v>
      </c>
    </row>
    <row r="345" spans="1:10" ht="15" thickBot="1" x14ac:dyDescent="0.25">
      <c r="A345" s="222"/>
      <c r="B345" s="222"/>
      <c r="C345" s="222" t="s">
        <v>390</v>
      </c>
      <c r="D345" s="235"/>
      <c r="E345" s="236">
        <f t="shared" ref="E345:J345" si="74">SUM(E341:E344)</f>
        <v>2020605.47</v>
      </c>
      <c r="F345" s="236">
        <f t="shared" si="74"/>
        <v>0</v>
      </c>
      <c r="G345" s="236">
        <f t="shared" si="74"/>
        <v>0</v>
      </c>
      <c r="H345" s="236">
        <f t="shared" si="74"/>
        <v>0</v>
      </c>
      <c r="I345" s="236">
        <f t="shared" si="74"/>
        <v>0</v>
      </c>
      <c r="J345" s="236">
        <f t="shared" si="74"/>
        <v>0</v>
      </c>
    </row>
    <row r="346" spans="1:10" x14ac:dyDescent="0.2">
      <c r="A346" s="222"/>
      <c r="B346" s="222"/>
      <c r="C346" s="222"/>
      <c r="D346" s="240"/>
      <c r="E346" s="242"/>
      <c r="F346" s="242"/>
      <c r="G346" s="242"/>
      <c r="H346" s="227"/>
      <c r="I346" s="227"/>
      <c r="J346" s="227"/>
    </row>
    <row r="347" spans="1:10" x14ac:dyDescent="0.2">
      <c r="A347" s="244" t="s">
        <v>15</v>
      </c>
      <c r="B347" s="222"/>
      <c r="C347" s="222"/>
      <c r="D347" s="222"/>
      <c r="E347" s="222"/>
      <c r="F347" s="222"/>
      <c r="G347" s="222"/>
      <c r="H347" s="222"/>
      <c r="I347" s="222"/>
      <c r="J347" s="222"/>
    </row>
    <row r="348" spans="1:10" x14ac:dyDescent="0.2">
      <c r="A348" s="233"/>
      <c r="B348" s="222" t="s">
        <v>1010</v>
      </c>
      <c r="C348" s="222"/>
      <c r="D348" s="222"/>
      <c r="E348" s="231">
        <f t="shared" ref="E348:J348" si="75">E105</f>
        <v>5768517.6600000001</v>
      </c>
      <c r="F348" s="231">
        <f t="shared" si="75"/>
        <v>0</v>
      </c>
      <c r="G348" s="231">
        <f t="shared" si="75"/>
        <v>0</v>
      </c>
      <c r="H348" s="231">
        <f t="shared" si="75"/>
        <v>0</v>
      </c>
      <c r="I348" s="231">
        <f t="shared" si="75"/>
        <v>0</v>
      </c>
      <c r="J348" s="231">
        <f t="shared" si="75"/>
        <v>0</v>
      </c>
    </row>
    <row r="349" spans="1:10" x14ac:dyDescent="0.2">
      <c r="A349" s="233"/>
      <c r="B349" s="222" t="s">
        <v>956</v>
      </c>
      <c r="C349" s="222"/>
      <c r="D349" s="222"/>
      <c r="E349" s="231">
        <f t="shared" ref="E349:J349" si="76">E160</f>
        <v>0</v>
      </c>
      <c r="F349" s="231">
        <f t="shared" si="76"/>
        <v>0</v>
      </c>
      <c r="G349" s="231">
        <f t="shared" si="76"/>
        <v>0</v>
      </c>
      <c r="H349" s="231">
        <f t="shared" si="76"/>
        <v>0</v>
      </c>
      <c r="I349" s="231">
        <f t="shared" si="76"/>
        <v>0</v>
      </c>
      <c r="J349" s="231">
        <f t="shared" si="76"/>
        <v>0</v>
      </c>
    </row>
    <row r="350" spans="1:10" x14ac:dyDescent="0.2">
      <c r="A350" s="233"/>
      <c r="B350" s="222" t="s">
        <v>123</v>
      </c>
      <c r="C350" s="222"/>
      <c r="D350" s="222"/>
      <c r="E350" s="231">
        <f t="shared" ref="E350:J350" si="77">E218</f>
        <v>0</v>
      </c>
      <c r="F350" s="231">
        <f t="shared" si="77"/>
        <v>0</v>
      </c>
      <c r="G350" s="231">
        <f t="shared" si="77"/>
        <v>0</v>
      </c>
      <c r="H350" s="231">
        <f t="shared" si="77"/>
        <v>0</v>
      </c>
      <c r="I350" s="231">
        <f t="shared" si="77"/>
        <v>0</v>
      </c>
      <c r="J350" s="231">
        <f t="shared" si="77"/>
        <v>0</v>
      </c>
    </row>
    <row r="351" spans="1:10" x14ac:dyDescent="0.2">
      <c r="A351" s="233"/>
      <c r="B351" s="222" t="s">
        <v>119</v>
      </c>
      <c r="C351" s="222"/>
      <c r="D351" s="222"/>
      <c r="E351" s="231">
        <f t="shared" ref="E351:J351" si="78">E282</f>
        <v>0</v>
      </c>
      <c r="F351" s="231">
        <f t="shared" si="78"/>
        <v>0</v>
      </c>
      <c r="G351" s="231">
        <f t="shared" si="78"/>
        <v>0</v>
      </c>
      <c r="H351" s="231">
        <f t="shared" si="78"/>
        <v>0</v>
      </c>
      <c r="I351" s="231">
        <f t="shared" si="78"/>
        <v>0</v>
      </c>
      <c r="J351" s="231">
        <f t="shared" si="78"/>
        <v>0</v>
      </c>
    </row>
    <row r="352" spans="1:10" ht="15" thickBot="1" x14ac:dyDescent="0.25">
      <c r="A352" s="243"/>
      <c r="B352" s="243" t="s">
        <v>69</v>
      </c>
      <c r="C352" s="240"/>
      <c r="D352" s="222"/>
      <c r="E352" s="236">
        <f t="shared" ref="E352:J352" si="79">SUM(E348:E351)</f>
        <v>5768517.6600000001</v>
      </c>
      <c r="F352" s="236">
        <f t="shared" si="79"/>
        <v>0</v>
      </c>
      <c r="G352" s="236">
        <f t="shared" si="79"/>
        <v>0</v>
      </c>
      <c r="H352" s="236">
        <f t="shared" si="79"/>
        <v>0</v>
      </c>
      <c r="I352" s="236">
        <f t="shared" si="79"/>
        <v>0</v>
      </c>
      <c r="J352" s="236">
        <f t="shared" si="79"/>
        <v>0</v>
      </c>
    </row>
    <row r="353" spans="1:10" x14ac:dyDescent="0.2">
      <c r="A353" s="222"/>
      <c r="B353" s="222"/>
      <c r="C353" s="222"/>
      <c r="D353" s="222"/>
      <c r="E353" s="242"/>
      <c r="F353" s="242"/>
      <c r="G353" s="242"/>
      <c r="H353" s="227"/>
      <c r="I353" s="227"/>
      <c r="J353" s="227"/>
    </row>
    <row r="354" spans="1:10" x14ac:dyDescent="0.2">
      <c r="A354" s="222"/>
      <c r="B354" s="222"/>
      <c r="C354" s="222"/>
      <c r="D354" s="222"/>
      <c r="E354" s="240"/>
      <c r="F354" s="274"/>
      <c r="G354" s="240"/>
      <c r="H354" s="240"/>
      <c r="I354" s="245"/>
      <c r="J354" s="235"/>
    </row>
    <row r="355" spans="1:10" ht="15" thickBot="1" x14ac:dyDescent="0.25">
      <c r="A355" s="222"/>
      <c r="B355" s="222"/>
      <c r="C355" s="222"/>
      <c r="D355" s="222"/>
      <c r="E355" s="240"/>
      <c r="F355" s="276" t="s">
        <v>391</v>
      </c>
      <c r="G355" s="240"/>
      <c r="H355" s="240"/>
      <c r="I355" s="245"/>
      <c r="J355" s="245"/>
    </row>
    <row r="356" spans="1:10" ht="15" thickTop="1" x14ac:dyDescent="0.2">
      <c r="A356" s="246"/>
      <c r="B356" s="246"/>
      <c r="C356" s="246"/>
      <c r="D356" s="246"/>
      <c r="E356" s="246"/>
      <c r="F356" s="277"/>
      <c r="G356" s="246"/>
      <c r="H356" s="246"/>
      <c r="I356" s="246"/>
      <c r="J356" s="246"/>
    </row>
    <row r="357" spans="1:10" x14ac:dyDescent="0.2">
      <c r="A357" s="247"/>
      <c r="B357" s="247">
        <v>210</v>
      </c>
      <c r="C357" s="222" t="s">
        <v>7</v>
      </c>
      <c r="D357" s="222"/>
      <c r="E357" s="231">
        <f t="shared" ref="E357:J372" si="80">SUMIF($A$62:$A$934,$B357,E$62:E$934)</f>
        <v>1563517.69</v>
      </c>
      <c r="F357" s="231">
        <f t="shared" si="80"/>
        <v>0</v>
      </c>
      <c r="G357" s="231">
        <f t="shared" si="80"/>
        <v>0</v>
      </c>
      <c r="H357" s="231">
        <f t="shared" si="80"/>
        <v>0</v>
      </c>
      <c r="I357" s="231">
        <f t="shared" si="80"/>
        <v>0</v>
      </c>
      <c r="J357" s="231">
        <f t="shared" si="80"/>
        <v>0</v>
      </c>
    </row>
    <row r="358" spans="1:10" x14ac:dyDescent="0.2">
      <c r="A358" s="247"/>
      <c r="B358" s="247">
        <v>212</v>
      </c>
      <c r="C358" s="222" t="s">
        <v>9</v>
      </c>
      <c r="D358" s="222"/>
      <c r="E358" s="231">
        <f t="shared" si="80"/>
        <v>8815.0499999999993</v>
      </c>
      <c r="F358" s="231">
        <f t="shared" si="80"/>
        <v>0</v>
      </c>
      <c r="G358" s="231">
        <f t="shared" si="80"/>
        <v>0</v>
      </c>
      <c r="H358" s="231">
        <f t="shared" si="80"/>
        <v>0</v>
      </c>
      <c r="I358" s="231">
        <f t="shared" si="80"/>
        <v>0</v>
      </c>
      <c r="J358" s="231">
        <f t="shared" si="80"/>
        <v>0</v>
      </c>
    </row>
    <row r="359" spans="1:10" x14ac:dyDescent="0.2">
      <c r="A359" s="247"/>
      <c r="B359" s="247">
        <v>213</v>
      </c>
      <c r="C359" s="222" t="s">
        <v>201</v>
      </c>
      <c r="D359" s="222"/>
      <c r="E359" s="231">
        <f t="shared" si="80"/>
        <v>0</v>
      </c>
      <c r="F359" s="231">
        <f t="shared" si="80"/>
        <v>0</v>
      </c>
      <c r="G359" s="231">
        <f t="shared" si="80"/>
        <v>0</v>
      </c>
      <c r="H359" s="231">
        <f t="shared" si="80"/>
        <v>0</v>
      </c>
      <c r="I359" s="231">
        <f t="shared" si="80"/>
        <v>0</v>
      </c>
      <c r="J359" s="231">
        <f t="shared" si="80"/>
        <v>0</v>
      </c>
    </row>
    <row r="360" spans="1:10" x14ac:dyDescent="0.2">
      <c r="A360" s="247"/>
      <c r="B360" s="247">
        <v>216</v>
      </c>
      <c r="C360" s="222" t="s">
        <v>10</v>
      </c>
      <c r="D360" s="222"/>
      <c r="E360" s="231">
        <f t="shared" si="80"/>
        <v>215192.83000000002</v>
      </c>
      <c r="F360" s="231">
        <f t="shared" si="80"/>
        <v>0</v>
      </c>
      <c r="G360" s="231">
        <f t="shared" si="80"/>
        <v>0</v>
      </c>
      <c r="H360" s="231">
        <f t="shared" si="80"/>
        <v>0</v>
      </c>
      <c r="I360" s="231">
        <f t="shared" si="80"/>
        <v>0</v>
      </c>
      <c r="J360" s="231">
        <f t="shared" si="80"/>
        <v>0</v>
      </c>
    </row>
    <row r="361" spans="1:10" x14ac:dyDescent="0.2">
      <c r="A361" s="247"/>
      <c r="B361" s="247">
        <v>218</v>
      </c>
      <c r="C361" s="222" t="s">
        <v>202</v>
      </c>
      <c r="D361" s="222"/>
      <c r="E361" s="231">
        <f t="shared" si="80"/>
        <v>18543.66</v>
      </c>
      <c r="F361" s="231">
        <f t="shared" si="80"/>
        <v>0</v>
      </c>
      <c r="G361" s="231">
        <f t="shared" si="80"/>
        <v>0</v>
      </c>
      <c r="H361" s="231">
        <f t="shared" si="80"/>
        <v>0</v>
      </c>
      <c r="I361" s="231">
        <f t="shared" si="80"/>
        <v>0</v>
      </c>
      <c r="J361" s="231">
        <f t="shared" si="80"/>
        <v>0</v>
      </c>
    </row>
    <row r="362" spans="1:10" x14ac:dyDescent="0.2">
      <c r="A362" s="247"/>
      <c r="B362" s="247">
        <v>219</v>
      </c>
      <c r="C362" s="222" t="s">
        <v>203</v>
      </c>
      <c r="D362" s="222"/>
      <c r="E362" s="231">
        <f t="shared" si="80"/>
        <v>0</v>
      </c>
      <c r="F362" s="231">
        <f t="shared" si="80"/>
        <v>0</v>
      </c>
      <c r="G362" s="231">
        <f t="shared" si="80"/>
        <v>0</v>
      </c>
      <c r="H362" s="231">
        <f t="shared" si="80"/>
        <v>0</v>
      </c>
      <c r="I362" s="231">
        <f t="shared" si="80"/>
        <v>0</v>
      </c>
      <c r="J362" s="231">
        <f t="shared" si="80"/>
        <v>0</v>
      </c>
    </row>
    <row r="363" spans="1:10" x14ac:dyDescent="0.2">
      <c r="A363" s="247"/>
      <c r="B363" s="247">
        <v>220</v>
      </c>
      <c r="C363" s="222" t="s">
        <v>204</v>
      </c>
      <c r="D363" s="222"/>
      <c r="E363" s="231">
        <f t="shared" si="80"/>
        <v>0</v>
      </c>
      <c r="F363" s="231">
        <f t="shared" si="80"/>
        <v>0</v>
      </c>
      <c r="G363" s="231">
        <f t="shared" si="80"/>
        <v>0</v>
      </c>
      <c r="H363" s="231">
        <f t="shared" si="80"/>
        <v>0</v>
      </c>
      <c r="I363" s="231">
        <f t="shared" si="80"/>
        <v>0</v>
      </c>
      <c r="J363" s="231">
        <f t="shared" si="80"/>
        <v>0</v>
      </c>
    </row>
    <row r="364" spans="1:10" x14ac:dyDescent="0.2">
      <c r="A364" s="247"/>
      <c r="B364" s="247">
        <v>222</v>
      </c>
      <c r="C364" s="222" t="s">
        <v>205</v>
      </c>
      <c r="D364" s="222"/>
      <c r="E364" s="231">
        <f t="shared" si="80"/>
        <v>33768.5</v>
      </c>
      <c r="F364" s="231">
        <f t="shared" si="80"/>
        <v>0</v>
      </c>
      <c r="G364" s="231">
        <f t="shared" si="80"/>
        <v>0</v>
      </c>
      <c r="H364" s="231">
        <f t="shared" si="80"/>
        <v>0</v>
      </c>
      <c r="I364" s="231">
        <f t="shared" si="80"/>
        <v>0</v>
      </c>
      <c r="J364" s="231">
        <f t="shared" si="80"/>
        <v>0</v>
      </c>
    </row>
    <row r="365" spans="1:10" x14ac:dyDescent="0.2">
      <c r="A365" s="247"/>
      <c r="B365" s="247">
        <v>224</v>
      </c>
      <c r="C365" s="222" t="s">
        <v>206</v>
      </c>
      <c r="D365" s="222"/>
      <c r="E365" s="231">
        <f t="shared" si="80"/>
        <v>55257.4</v>
      </c>
      <c r="F365" s="231">
        <f t="shared" si="80"/>
        <v>0</v>
      </c>
      <c r="G365" s="231">
        <f t="shared" si="80"/>
        <v>0</v>
      </c>
      <c r="H365" s="231">
        <f t="shared" si="80"/>
        <v>0</v>
      </c>
      <c r="I365" s="231">
        <f t="shared" si="80"/>
        <v>0</v>
      </c>
      <c r="J365" s="231">
        <f t="shared" si="80"/>
        <v>0</v>
      </c>
    </row>
    <row r="366" spans="1:10" x14ac:dyDescent="0.2">
      <c r="A366" s="247"/>
      <c r="B366" s="247">
        <v>226</v>
      </c>
      <c r="C366" s="222" t="s">
        <v>207</v>
      </c>
      <c r="D366" s="222"/>
      <c r="E366" s="231">
        <f t="shared" si="80"/>
        <v>240834.76</v>
      </c>
      <c r="F366" s="231">
        <f t="shared" si="80"/>
        <v>0</v>
      </c>
      <c r="G366" s="231">
        <f t="shared" si="80"/>
        <v>0</v>
      </c>
      <c r="H366" s="231">
        <f t="shared" si="80"/>
        <v>0</v>
      </c>
      <c r="I366" s="231">
        <f t="shared" si="80"/>
        <v>0</v>
      </c>
      <c r="J366" s="231">
        <f t="shared" si="80"/>
        <v>0</v>
      </c>
    </row>
    <row r="367" spans="1:10" x14ac:dyDescent="0.2">
      <c r="A367" s="247"/>
      <c r="B367" s="247">
        <v>228</v>
      </c>
      <c r="C367" s="222" t="s">
        <v>208</v>
      </c>
      <c r="D367" s="222"/>
      <c r="E367" s="231">
        <f t="shared" si="80"/>
        <v>21824.260000000002</v>
      </c>
      <c r="F367" s="231">
        <f t="shared" si="80"/>
        <v>0</v>
      </c>
      <c r="G367" s="231">
        <f t="shared" si="80"/>
        <v>0</v>
      </c>
      <c r="H367" s="231">
        <f t="shared" si="80"/>
        <v>0</v>
      </c>
      <c r="I367" s="231">
        <f t="shared" si="80"/>
        <v>0</v>
      </c>
      <c r="J367" s="231">
        <f t="shared" si="80"/>
        <v>0</v>
      </c>
    </row>
    <row r="368" spans="1:10" x14ac:dyDescent="0.2">
      <c r="A368" s="247"/>
      <c r="B368" s="247">
        <v>229</v>
      </c>
      <c r="C368" s="222" t="s">
        <v>209</v>
      </c>
      <c r="D368" s="222"/>
      <c r="E368" s="231">
        <f t="shared" si="80"/>
        <v>289002.26</v>
      </c>
      <c r="F368" s="231">
        <f t="shared" si="80"/>
        <v>0</v>
      </c>
      <c r="G368" s="231">
        <f t="shared" si="80"/>
        <v>0</v>
      </c>
      <c r="H368" s="231">
        <f t="shared" si="80"/>
        <v>0</v>
      </c>
      <c r="I368" s="231">
        <f t="shared" si="80"/>
        <v>0</v>
      </c>
      <c r="J368" s="231">
        <f t="shared" si="80"/>
        <v>0</v>
      </c>
    </row>
    <row r="369" spans="1:10" x14ac:dyDescent="0.2">
      <c r="A369" s="247"/>
      <c r="B369" s="247">
        <v>230</v>
      </c>
      <c r="C369" s="222" t="s">
        <v>210</v>
      </c>
      <c r="D369" s="222"/>
      <c r="E369" s="231">
        <f t="shared" si="80"/>
        <v>2400</v>
      </c>
      <c r="F369" s="231">
        <f t="shared" si="80"/>
        <v>0</v>
      </c>
      <c r="G369" s="231">
        <f t="shared" si="80"/>
        <v>0</v>
      </c>
      <c r="H369" s="231">
        <f t="shared" si="80"/>
        <v>0</v>
      </c>
      <c r="I369" s="231">
        <f t="shared" si="80"/>
        <v>0</v>
      </c>
      <c r="J369" s="231">
        <f t="shared" si="80"/>
        <v>0</v>
      </c>
    </row>
    <row r="370" spans="1:10" x14ac:dyDescent="0.2">
      <c r="A370" s="247"/>
      <c r="B370" s="247">
        <v>232</v>
      </c>
      <c r="C370" s="222" t="s">
        <v>211</v>
      </c>
      <c r="D370" s="222"/>
      <c r="E370" s="231">
        <f t="shared" si="80"/>
        <v>203361.78999999998</v>
      </c>
      <c r="F370" s="231">
        <f t="shared" si="80"/>
        <v>0</v>
      </c>
      <c r="G370" s="231">
        <f t="shared" si="80"/>
        <v>0</v>
      </c>
      <c r="H370" s="231">
        <f t="shared" si="80"/>
        <v>0</v>
      </c>
      <c r="I370" s="231">
        <f t="shared" si="80"/>
        <v>0</v>
      </c>
      <c r="J370" s="231">
        <f t="shared" si="80"/>
        <v>0</v>
      </c>
    </row>
    <row r="371" spans="1:10" x14ac:dyDescent="0.2">
      <c r="A371" s="247"/>
      <c r="B371" s="247">
        <v>234</v>
      </c>
      <c r="C371" s="222" t="s">
        <v>212</v>
      </c>
      <c r="D371" s="222"/>
      <c r="E371" s="231">
        <f t="shared" si="80"/>
        <v>103200</v>
      </c>
      <c r="F371" s="231">
        <f t="shared" si="80"/>
        <v>0</v>
      </c>
      <c r="G371" s="231">
        <f t="shared" si="80"/>
        <v>0</v>
      </c>
      <c r="H371" s="231">
        <f t="shared" si="80"/>
        <v>0</v>
      </c>
      <c r="I371" s="231">
        <f t="shared" si="80"/>
        <v>0</v>
      </c>
      <c r="J371" s="231">
        <f t="shared" si="80"/>
        <v>0</v>
      </c>
    </row>
    <row r="372" spans="1:10" x14ac:dyDescent="0.2">
      <c r="A372" s="247"/>
      <c r="B372" s="247">
        <v>236</v>
      </c>
      <c r="C372" s="222" t="s">
        <v>213</v>
      </c>
      <c r="D372" s="222"/>
      <c r="E372" s="231">
        <f t="shared" si="80"/>
        <v>998220.19000000006</v>
      </c>
      <c r="F372" s="231">
        <f t="shared" si="80"/>
        <v>0</v>
      </c>
      <c r="G372" s="231">
        <f t="shared" si="80"/>
        <v>0</v>
      </c>
      <c r="H372" s="231">
        <f t="shared" si="80"/>
        <v>0</v>
      </c>
      <c r="I372" s="231">
        <f t="shared" si="80"/>
        <v>0</v>
      </c>
      <c r="J372" s="231">
        <f t="shared" si="80"/>
        <v>0</v>
      </c>
    </row>
    <row r="373" spans="1:10" x14ac:dyDescent="0.2">
      <c r="A373" s="247"/>
      <c r="B373" s="247">
        <v>238</v>
      </c>
      <c r="C373" s="222" t="s">
        <v>214</v>
      </c>
      <c r="D373" s="222"/>
      <c r="E373" s="231">
        <f t="shared" ref="E373:J388" si="81">SUMIF($A$62:$A$934,$B373,E$62:E$934)</f>
        <v>0</v>
      </c>
      <c r="F373" s="231">
        <f t="shared" si="81"/>
        <v>0</v>
      </c>
      <c r="G373" s="231">
        <f t="shared" si="81"/>
        <v>0</v>
      </c>
      <c r="H373" s="231">
        <f t="shared" si="81"/>
        <v>0</v>
      </c>
      <c r="I373" s="231">
        <f t="shared" si="81"/>
        <v>0</v>
      </c>
      <c r="J373" s="231">
        <f t="shared" si="81"/>
        <v>0</v>
      </c>
    </row>
    <row r="374" spans="1:10" x14ac:dyDescent="0.2">
      <c r="A374" s="247"/>
      <c r="B374" s="247">
        <v>240</v>
      </c>
      <c r="C374" s="222" t="s">
        <v>215</v>
      </c>
      <c r="D374" s="222"/>
      <c r="E374" s="231">
        <f t="shared" si="81"/>
        <v>0</v>
      </c>
      <c r="F374" s="231">
        <f t="shared" si="81"/>
        <v>0</v>
      </c>
      <c r="G374" s="231">
        <f t="shared" si="81"/>
        <v>0</v>
      </c>
      <c r="H374" s="231">
        <f t="shared" si="81"/>
        <v>0</v>
      </c>
      <c r="I374" s="231">
        <f t="shared" si="81"/>
        <v>0</v>
      </c>
      <c r="J374" s="231">
        <f t="shared" si="81"/>
        <v>0</v>
      </c>
    </row>
    <row r="375" spans="1:10" x14ac:dyDescent="0.2">
      <c r="A375" s="247"/>
      <c r="B375" s="247">
        <v>242</v>
      </c>
      <c r="C375" s="222" t="s">
        <v>216</v>
      </c>
      <c r="D375" s="222"/>
      <c r="E375" s="231">
        <f t="shared" si="81"/>
        <v>0</v>
      </c>
      <c r="F375" s="231">
        <f t="shared" si="81"/>
        <v>0</v>
      </c>
      <c r="G375" s="231">
        <f t="shared" si="81"/>
        <v>0</v>
      </c>
      <c r="H375" s="231">
        <f t="shared" si="81"/>
        <v>0</v>
      </c>
      <c r="I375" s="231">
        <f t="shared" si="81"/>
        <v>0</v>
      </c>
      <c r="J375" s="231">
        <f t="shared" si="81"/>
        <v>0</v>
      </c>
    </row>
    <row r="376" spans="1:10" x14ac:dyDescent="0.2">
      <c r="A376" s="247"/>
      <c r="B376" s="247">
        <v>244</v>
      </c>
      <c r="C376" s="222" t="s">
        <v>217</v>
      </c>
      <c r="D376" s="222"/>
      <c r="E376" s="231">
        <f t="shared" si="81"/>
        <v>0</v>
      </c>
      <c r="F376" s="231">
        <f t="shared" si="81"/>
        <v>0</v>
      </c>
      <c r="G376" s="231">
        <f t="shared" si="81"/>
        <v>0</v>
      </c>
      <c r="H376" s="231">
        <f t="shared" si="81"/>
        <v>0</v>
      </c>
      <c r="I376" s="231">
        <f t="shared" si="81"/>
        <v>0</v>
      </c>
      <c r="J376" s="231">
        <f t="shared" si="81"/>
        <v>0</v>
      </c>
    </row>
    <row r="377" spans="1:10" x14ac:dyDescent="0.2">
      <c r="A377" s="247"/>
      <c r="B377" s="247">
        <v>246</v>
      </c>
      <c r="C377" s="222" t="s">
        <v>218</v>
      </c>
      <c r="D377" s="222"/>
      <c r="E377" s="231">
        <f t="shared" si="81"/>
        <v>1320</v>
      </c>
      <c r="F377" s="231">
        <f t="shared" si="81"/>
        <v>0</v>
      </c>
      <c r="G377" s="231">
        <f t="shared" si="81"/>
        <v>0</v>
      </c>
      <c r="H377" s="231">
        <f t="shared" si="81"/>
        <v>0</v>
      </c>
      <c r="I377" s="231">
        <f t="shared" si="81"/>
        <v>0</v>
      </c>
      <c r="J377" s="231">
        <f t="shared" si="81"/>
        <v>0</v>
      </c>
    </row>
    <row r="378" spans="1:10" x14ac:dyDescent="0.2">
      <c r="A378" s="247"/>
      <c r="B378" s="247">
        <v>247</v>
      </c>
      <c r="C378" s="222" t="s">
        <v>219</v>
      </c>
      <c r="D378" s="222"/>
      <c r="E378" s="231">
        <f t="shared" si="81"/>
        <v>0</v>
      </c>
      <c r="F378" s="231">
        <f t="shared" si="81"/>
        <v>0</v>
      </c>
      <c r="G378" s="231">
        <f t="shared" si="81"/>
        <v>0</v>
      </c>
      <c r="H378" s="231">
        <f t="shared" si="81"/>
        <v>0</v>
      </c>
      <c r="I378" s="231">
        <f t="shared" si="81"/>
        <v>0</v>
      </c>
      <c r="J378" s="231">
        <f t="shared" si="81"/>
        <v>0</v>
      </c>
    </row>
    <row r="379" spans="1:10" x14ac:dyDescent="0.2">
      <c r="A379" s="247"/>
      <c r="B379" s="247">
        <v>260</v>
      </c>
      <c r="C379" s="222" t="s">
        <v>220</v>
      </c>
      <c r="D379" s="222"/>
      <c r="E379" s="231">
        <f t="shared" si="81"/>
        <v>0</v>
      </c>
      <c r="F379" s="231">
        <f t="shared" si="81"/>
        <v>0</v>
      </c>
      <c r="G379" s="231">
        <f t="shared" si="81"/>
        <v>0</v>
      </c>
      <c r="H379" s="231">
        <f t="shared" si="81"/>
        <v>0</v>
      </c>
      <c r="I379" s="231">
        <f t="shared" si="81"/>
        <v>0</v>
      </c>
      <c r="J379" s="231">
        <f t="shared" si="81"/>
        <v>0</v>
      </c>
    </row>
    <row r="380" spans="1:10" x14ac:dyDescent="0.2">
      <c r="A380" s="247"/>
      <c r="B380" s="247">
        <v>261</v>
      </c>
      <c r="C380" s="222" t="s">
        <v>221</v>
      </c>
      <c r="D380" s="222"/>
      <c r="E380" s="231">
        <f t="shared" si="81"/>
        <v>0</v>
      </c>
      <c r="F380" s="231">
        <f t="shared" si="81"/>
        <v>0</v>
      </c>
      <c r="G380" s="231">
        <f t="shared" si="81"/>
        <v>0</v>
      </c>
      <c r="H380" s="231">
        <f t="shared" si="81"/>
        <v>0</v>
      </c>
      <c r="I380" s="231">
        <f t="shared" si="81"/>
        <v>0</v>
      </c>
      <c r="J380" s="231">
        <f t="shared" si="81"/>
        <v>0</v>
      </c>
    </row>
    <row r="381" spans="1:10" x14ac:dyDescent="0.2">
      <c r="A381" s="247"/>
      <c r="B381" s="247">
        <v>262</v>
      </c>
      <c r="C381" s="222" t="s">
        <v>1011</v>
      </c>
      <c r="D381" s="222"/>
      <c r="E381" s="231">
        <f t="shared" si="81"/>
        <v>0</v>
      </c>
      <c r="F381" s="231">
        <f t="shared" si="81"/>
        <v>0</v>
      </c>
      <c r="G381" s="231">
        <f t="shared" si="81"/>
        <v>0</v>
      </c>
      <c r="H381" s="231">
        <f t="shared" si="81"/>
        <v>0</v>
      </c>
      <c r="I381" s="231">
        <f t="shared" si="81"/>
        <v>0</v>
      </c>
      <c r="J381" s="231">
        <f t="shared" si="81"/>
        <v>0</v>
      </c>
    </row>
    <row r="382" spans="1:10" x14ac:dyDescent="0.2">
      <c r="A382" s="247"/>
      <c r="B382" s="247">
        <v>265</v>
      </c>
      <c r="C382" s="222" t="s">
        <v>222</v>
      </c>
      <c r="D382" s="222"/>
      <c r="E382" s="231">
        <f t="shared" si="81"/>
        <v>0</v>
      </c>
      <c r="F382" s="231">
        <f t="shared" si="81"/>
        <v>0</v>
      </c>
      <c r="G382" s="231">
        <f t="shared" si="81"/>
        <v>0</v>
      </c>
      <c r="H382" s="231">
        <f t="shared" si="81"/>
        <v>0</v>
      </c>
      <c r="I382" s="231">
        <f t="shared" si="81"/>
        <v>0</v>
      </c>
      <c r="J382" s="231">
        <f t="shared" si="81"/>
        <v>0</v>
      </c>
    </row>
    <row r="383" spans="1:10" x14ac:dyDescent="0.2">
      <c r="A383" s="247"/>
      <c r="B383" s="247">
        <v>266</v>
      </c>
      <c r="C383" s="222" t="s">
        <v>223</v>
      </c>
      <c r="D383" s="222"/>
      <c r="E383" s="231">
        <f t="shared" si="81"/>
        <v>0</v>
      </c>
      <c r="F383" s="231">
        <f t="shared" si="81"/>
        <v>0</v>
      </c>
      <c r="G383" s="231">
        <f t="shared" si="81"/>
        <v>0</v>
      </c>
      <c r="H383" s="231">
        <f t="shared" si="81"/>
        <v>0</v>
      </c>
      <c r="I383" s="231">
        <f t="shared" si="81"/>
        <v>0</v>
      </c>
      <c r="J383" s="231">
        <f t="shared" si="81"/>
        <v>0</v>
      </c>
    </row>
    <row r="384" spans="1:10" x14ac:dyDescent="0.2">
      <c r="A384" s="247"/>
      <c r="B384" s="247">
        <v>270</v>
      </c>
      <c r="C384" s="222" t="s">
        <v>224</v>
      </c>
      <c r="D384" s="222"/>
      <c r="E384" s="231">
        <f t="shared" si="81"/>
        <v>0</v>
      </c>
      <c r="F384" s="231">
        <f t="shared" si="81"/>
        <v>0</v>
      </c>
      <c r="G384" s="231">
        <f t="shared" si="81"/>
        <v>0</v>
      </c>
      <c r="H384" s="231">
        <f t="shared" si="81"/>
        <v>0</v>
      </c>
      <c r="I384" s="231">
        <f t="shared" si="81"/>
        <v>0</v>
      </c>
      <c r="J384" s="231">
        <f t="shared" si="81"/>
        <v>0</v>
      </c>
    </row>
    <row r="385" spans="1:10" x14ac:dyDescent="0.2">
      <c r="A385" s="247"/>
      <c r="B385" s="247">
        <v>272</v>
      </c>
      <c r="C385" s="222" t="s">
        <v>225</v>
      </c>
      <c r="D385" s="222"/>
      <c r="E385" s="231">
        <f t="shared" si="81"/>
        <v>0</v>
      </c>
      <c r="F385" s="231">
        <f t="shared" si="81"/>
        <v>0</v>
      </c>
      <c r="G385" s="231">
        <f t="shared" si="81"/>
        <v>0</v>
      </c>
      <c r="H385" s="231">
        <f t="shared" si="81"/>
        <v>0</v>
      </c>
      <c r="I385" s="231">
        <f t="shared" si="81"/>
        <v>0</v>
      </c>
      <c r="J385" s="231">
        <f t="shared" si="81"/>
        <v>0</v>
      </c>
    </row>
    <row r="386" spans="1:10" x14ac:dyDescent="0.2">
      <c r="A386" s="247"/>
      <c r="B386" s="247">
        <v>273</v>
      </c>
      <c r="C386" s="222" t="s">
        <v>226</v>
      </c>
      <c r="D386" s="222"/>
      <c r="E386" s="231">
        <f t="shared" si="81"/>
        <v>0</v>
      </c>
      <c r="F386" s="231">
        <f t="shared" si="81"/>
        <v>0</v>
      </c>
      <c r="G386" s="231">
        <f t="shared" si="81"/>
        <v>0</v>
      </c>
      <c r="H386" s="231">
        <f t="shared" si="81"/>
        <v>0</v>
      </c>
      <c r="I386" s="231">
        <f t="shared" si="81"/>
        <v>0</v>
      </c>
      <c r="J386" s="231">
        <f t="shared" si="81"/>
        <v>0</v>
      </c>
    </row>
    <row r="387" spans="1:10" x14ac:dyDescent="0.2">
      <c r="A387" s="247"/>
      <c r="B387" s="247">
        <v>274</v>
      </c>
      <c r="C387" s="222" t="s">
        <v>227</v>
      </c>
      <c r="D387" s="222"/>
      <c r="E387" s="231">
        <f t="shared" si="81"/>
        <v>0</v>
      </c>
      <c r="F387" s="231">
        <f t="shared" si="81"/>
        <v>0</v>
      </c>
      <c r="G387" s="231">
        <f t="shared" si="81"/>
        <v>0</v>
      </c>
      <c r="H387" s="231">
        <f t="shared" si="81"/>
        <v>0</v>
      </c>
      <c r="I387" s="231">
        <f t="shared" si="81"/>
        <v>0</v>
      </c>
      <c r="J387" s="231">
        <f t="shared" si="81"/>
        <v>0</v>
      </c>
    </row>
    <row r="388" spans="1:10" x14ac:dyDescent="0.2">
      <c r="A388" s="247"/>
      <c r="B388" s="247">
        <v>275</v>
      </c>
      <c r="C388" s="222" t="s">
        <v>228</v>
      </c>
      <c r="D388" s="222"/>
      <c r="E388" s="231">
        <f t="shared" si="81"/>
        <v>11447.24</v>
      </c>
      <c r="F388" s="231">
        <f t="shared" si="81"/>
        <v>0</v>
      </c>
      <c r="G388" s="231">
        <f t="shared" si="81"/>
        <v>0</v>
      </c>
      <c r="H388" s="231">
        <f t="shared" si="81"/>
        <v>0</v>
      </c>
      <c r="I388" s="231">
        <f t="shared" si="81"/>
        <v>0</v>
      </c>
      <c r="J388" s="231">
        <f t="shared" si="81"/>
        <v>0</v>
      </c>
    </row>
    <row r="389" spans="1:10" x14ac:dyDescent="0.2">
      <c r="A389" s="247"/>
      <c r="B389" s="247">
        <v>276</v>
      </c>
      <c r="C389" s="222" t="s">
        <v>229</v>
      </c>
      <c r="D389" s="222"/>
      <c r="E389" s="231">
        <f t="shared" ref="E389:J401" si="82">SUMIF($A$62:$A$934,$B389,E$62:E$934)</f>
        <v>0</v>
      </c>
      <c r="F389" s="231">
        <f t="shared" si="82"/>
        <v>0</v>
      </c>
      <c r="G389" s="231">
        <f t="shared" si="82"/>
        <v>0</v>
      </c>
      <c r="H389" s="231">
        <f t="shared" si="82"/>
        <v>0</v>
      </c>
      <c r="I389" s="231">
        <f t="shared" si="82"/>
        <v>0</v>
      </c>
      <c r="J389" s="231">
        <f t="shared" si="82"/>
        <v>0</v>
      </c>
    </row>
    <row r="390" spans="1:10" x14ac:dyDescent="0.2">
      <c r="A390" s="247"/>
      <c r="B390" s="247">
        <v>277</v>
      </c>
      <c r="C390" s="222" t="s">
        <v>230</v>
      </c>
      <c r="D390" s="222"/>
      <c r="E390" s="231">
        <f t="shared" si="82"/>
        <v>0</v>
      </c>
      <c r="F390" s="231">
        <f t="shared" si="82"/>
        <v>0</v>
      </c>
      <c r="G390" s="231">
        <f t="shared" si="82"/>
        <v>0</v>
      </c>
      <c r="H390" s="231">
        <f t="shared" si="82"/>
        <v>0</v>
      </c>
      <c r="I390" s="231">
        <f t="shared" si="82"/>
        <v>0</v>
      </c>
      <c r="J390" s="231">
        <f t="shared" si="82"/>
        <v>0</v>
      </c>
    </row>
    <row r="391" spans="1:10" x14ac:dyDescent="0.2">
      <c r="A391" s="247"/>
      <c r="B391" s="247">
        <v>278</v>
      </c>
      <c r="C391" s="222" t="s">
        <v>231</v>
      </c>
      <c r="D391" s="222"/>
      <c r="E391" s="231">
        <f t="shared" si="82"/>
        <v>0</v>
      </c>
      <c r="F391" s="231">
        <f t="shared" si="82"/>
        <v>0</v>
      </c>
      <c r="G391" s="231">
        <f t="shared" si="82"/>
        <v>0</v>
      </c>
      <c r="H391" s="231">
        <f t="shared" si="82"/>
        <v>0</v>
      </c>
      <c r="I391" s="231">
        <f t="shared" si="82"/>
        <v>0</v>
      </c>
      <c r="J391" s="231">
        <f t="shared" si="82"/>
        <v>0</v>
      </c>
    </row>
    <row r="392" spans="1:10" x14ac:dyDescent="0.2">
      <c r="A392" s="247"/>
      <c r="B392" s="247">
        <v>279</v>
      </c>
      <c r="C392" s="222" t="s">
        <v>232</v>
      </c>
      <c r="D392" s="222"/>
      <c r="E392" s="231">
        <f t="shared" si="82"/>
        <v>0</v>
      </c>
      <c r="F392" s="231">
        <f t="shared" si="82"/>
        <v>0</v>
      </c>
      <c r="G392" s="231">
        <f t="shared" si="82"/>
        <v>0</v>
      </c>
      <c r="H392" s="231">
        <f t="shared" si="82"/>
        <v>0</v>
      </c>
      <c r="I392" s="231">
        <f t="shared" si="82"/>
        <v>0</v>
      </c>
      <c r="J392" s="231">
        <f t="shared" si="82"/>
        <v>0</v>
      </c>
    </row>
    <row r="393" spans="1:10" x14ac:dyDescent="0.2">
      <c r="A393" s="247"/>
      <c r="B393" s="247">
        <v>280</v>
      </c>
      <c r="C393" s="222" t="s">
        <v>233</v>
      </c>
      <c r="D393" s="222"/>
      <c r="E393" s="231">
        <f t="shared" si="82"/>
        <v>39969.07</v>
      </c>
      <c r="F393" s="231">
        <f t="shared" si="82"/>
        <v>0</v>
      </c>
      <c r="G393" s="231">
        <f t="shared" si="82"/>
        <v>0</v>
      </c>
      <c r="H393" s="231">
        <f t="shared" si="82"/>
        <v>0</v>
      </c>
      <c r="I393" s="231">
        <f t="shared" si="82"/>
        <v>0</v>
      </c>
      <c r="J393" s="231">
        <f t="shared" si="82"/>
        <v>0</v>
      </c>
    </row>
    <row r="394" spans="1:10" x14ac:dyDescent="0.2">
      <c r="A394" s="247"/>
      <c r="B394" s="247">
        <v>281</v>
      </c>
      <c r="C394" s="222" t="s">
        <v>234</v>
      </c>
      <c r="D394" s="222"/>
      <c r="E394" s="231">
        <f t="shared" si="82"/>
        <v>20000</v>
      </c>
      <c r="F394" s="231">
        <f t="shared" si="82"/>
        <v>0</v>
      </c>
      <c r="G394" s="231">
        <f t="shared" si="82"/>
        <v>0</v>
      </c>
      <c r="H394" s="231">
        <f t="shared" si="82"/>
        <v>0</v>
      </c>
      <c r="I394" s="231">
        <f t="shared" si="82"/>
        <v>0</v>
      </c>
      <c r="J394" s="231">
        <f t="shared" si="82"/>
        <v>0</v>
      </c>
    </row>
    <row r="395" spans="1:10" x14ac:dyDescent="0.2">
      <c r="A395" s="247"/>
      <c r="B395" s="247">
        <v>282</v>
      </c>
      <c r="C395" s="222" t="s">
        <v>235</v>
      </c>
      <c r="D395" s="222"/>
      <c r="E395" s="231">
        <f t="shared" si="82"/>
        <v>0</v>
      </c>
      <c r="F395" s="231">
        <f t="shared" si="82"/>
        <v>0</v>
      </c>
      <c r="G395" s="231">
        <f t="shared" si="82"/>
        <v>0</v>
      </c>
      <c r="H395" s="231">
        <f t="shared" si="82"/>
        <v>0</v>
      </c>
      <c r="I395" s="231">
        <f t="shared" si="82"/>
        <v>0</v>
      </c>
      <c r="J395" s="231">
        <f t="shared" si="82"/>
        <v>0</v>
      </c>
    </row>
    <row r="396" spans="1:10" x14ac:dyDescent="0.2">
      <c r="A396" s="247"/>
      <c r="B396" s="247">
        <v>283</v>
      </c>
      <c r="C396" s="222" t="s">
        <v>236</v>
      </c>
      <c r="D396" s="222"/>
      <c r="E396" s="231">
        <f t="shared" si="82"/>
        <v>0</v>
      </c>
      <c r="F396" s="231">
        <f t="shared" si="82"/>
        <v>0</v>
      </c>
      <c r="G396" s="231">
        <f t="shared" si="82"/>
        <v>0</v>
      </c>
      <c r="H396" s="231">
        <f t="shared" si="82"/>
        <v>0</v>
      </c>
      <c r="I396" s="231">
        <f t="shared" si="82"/>
        <v>0</v>
      </c>
      <c r="J396" s="231">
        <f t="shared" si="82"/>
        <v>0</v>
      </c>
    </row>
    <row r="397" spans="1:10" x14ac:dyDescent="0.2">
      <c r="A397" s="247"/>
      <c r="B397" s="247">
        <v>290</v>
      </c>
      <c r="C397" s="222" t="s">
        <v>238</v>
      </c>
      <c r="D397" s="222"/>
      <c r="E397" s="231">
        <f t="shared" si="82"/>
        <v>0</v>
      </c>
      <c r="F397" s="231">
        <f t="shared" si="82"/>
        <v>0</v>
      </c>
      <c r="G397" s="231">
        <f t="shared" si="82"/>
        <v>0</v>
      </c>
      <c r="H397" s="231">
        <f t="shared" si="82"/>
        <v>0</v>
      </c>
      <c r="I397" s="231">
        <f t="shared" si="82"/>
        <v>0</v>
      </c>
      <c r="J397" s="231">
        <f t="shared" si="82"/>
        <v>0</v>
      </c>
    </row>
    <row r="398" spans="1:10" x14ac:dyDescent="0.2">
      <c r="A398" s="247"/>
      <c r="B398" s="247">
        <v>292</v>
      </c>
      <c r="C398" s="222" t="s">
        <v>239</v>
      </c>
      <c r="D398" s="222"/>
      <c r="E398" s="231">
        <f t="shared" si="82"/>
        <v>0</v>
      </c>
      <c r="F398" s="231">
        <f t="shared" si="82"/>
        <v>0</v>
      </c>
      <c r="G398" s="231">
        <f t="shared" si="82"/>
        <v>0</v>
      </c>
      <c r="H398" s="231">
        <f t="shared" si="82"/>
        <v>0</v>
      </c>
      <c r="I398" s="231">
        <f t="shared" si="82"/>
        <v>0</v>
      </c>
      <c r="J398" s="231">
        <f t="shared" si="82"/>
        <v>0</v>
      </c>
    </row>
    <row r="399" spans="1:10" x14ac:dyDescent="0.2">
      <c r="A399" s="247"/>
      <c r="B399" s="247">
        <v>293</v>
      </c>
      <c r="C399" s="222" t="s">
        <v>240</v>
      </c>
      <c r="D399" s="222"/>
      <c r="E399" s="231">
        <f t="shared" si="82"/>
        <v>0</v>
      </c>
      <c r="F399" s="231">
        <f t="shared" si="82"/>
        <v>0</v>
      </c>
      <c r="G399" s="231">
        <f t="shared" si="82"/>
        <v>0</v>
      </c>
      <c r="H399" s="231">
        <f t="shared" si="82"/>
        <v>0</v>
      </c>
      <c r="I399" s="231">
        <f t="shared" si="82"/>
        <v>0</v>
      </c>
      <c r="J399" s="231">
        <f t="shared" si="82"/>
        <v>0</v>
      </c>
    </row>
    <row r="400" spans="1:10" x14ac:dyDescent="0.2">
      <c r="A400" s="222"/>
      <c r="B400" s="247"/>
      <c r="C400" s="229" t="s">
        <v>1012</v>
      </c>
      <c r="D400" s="240"/>
      <c r="E400" s="248">
        <f t="shared" ref="E400:J400" si="83">SUM(E357:E399)</f>
        <v>3826674.6999999993</v>
      </c>
      <c r="F400" s="248">
        <f t="shared" si="83"/>
        <v>0</v>
      </c>
      <c r="G400" s="248">
        <f t="shared" si="83"/>
        <v>0</v>
      </c>
      <c r="H400" s="248">
        <f t="shared" si="83"/>
        <v>0</v>
      </c>
      <c r="I400" s="248">
        <f t="shared" si="83"/>
        <v>0</v>
      </c>
      <c r="J400" s="248">
        <f t="shared" si="83"/>
        <v>0</v>
      </c>
    </row>
  </sheetData>
  <mergeCells count="330">
    <mergeCell ref="A308:E308"/>
    <mergeCell ref="A309:J309"/>
    <mergeCell ref="A302:E302"/>
    <mergeCell ref="A303:E303"/>
    <mergeCell ref="A304:E304"/>
    <mergeCell ref="A305:J305"/>
    <mergeCell ref="A306:E306"/>
    <mergeCell ref="A307:E307"/>
    <mergeCell ref="A296:J296"/>
    <mergeCell ref="A297:J297"/>
    <mergeCell ref="A298:J298"/>
    <mergeCell ref="A299:E299"/>
    <mergeCell ref="A300:J300"/>
    <mergeCell ref="A301:E301"/>
    <mergeCell ref="A290:J290"/>
    <mergeCell ref="A291:J291"/>
    <mergeCell ref="A292:J292"/>
    <mergeCell ref="A293:J293"/>
    <mergeCell ref="A294:J294"/>
    <mergeCell ref="A295:J295"/>
    <mergeCell ref="A284:J284"/>
    <mergeCell ref="A285:C285"/>
    <mergeCell ref="A286:C286"/>
    <mergeCell ref="A287:D287"/>
    <mergeCell ref="A288:J288"/>
    <mergeCell ref="A289:J289"/>
    <mergeCell ref="I279:I280"/>
    <mergeCell ref="J279:J280"/>
    <mergeCell ref="C280:D280"/>
    <mergeCell ref="C281:D281"/>
    <mergeCell ref="A282:D282"/>
    <mergeCell ref="A283:J283"/>
    <mergeCell ref="B274:D274"/>
    <mergeCell ref="A275:D275"/>
    <mergeCell ref="A276:D276"/>
    <mergeCell ref="A277:I277"/>
    <mergeCell ref="A278:J278"/>
    <mergeCell ref="A279:D279"/>
    <mergeCell ref="E279:E280"/>
    <mergeCell ref="F279:F280"/>
    <mergeCell ref="G279:G280"/>
    <mergeCell ref="H279:H280"/>
    <mergeCell ref="B268:D268"/>
    <mergeCell ref="B269:D269"/>
    <mergeCell ref="B270:D270"/>
    <mergeCell ref="B271:D271"/>
    <mergeCell ref="B272:D272"/>
    <mergeCell ref="B273:D273"/>
    <mergeCell ref="B262:D262"/>
    <mergeCell ref="B263:D263"/>
    <mergeCell ref="B264:D264"/>
    <mergeCell ref="B265:D265"/>
    <mergeCell ref="B266:D266"/>
    <mergeCell ref="B267:D267"/>
    <mergeCell ref="B256:D256"/>
    <mergeCell ref="B257:D257"/>
    <mergeCell ref="B258:D258"/>
    <mergeCell ref="B259:D259"/>
    <mergeCell ref="A260:D260"/>
    <mergeCell ref="A261:I261"/>
    <mergeCell ref="B250:D250"/>
    <mergeCell ref="A251:D251"/>
    <mergeCell ref="A252:J252"/>
    <mergeCell ref="A253:J253"/>
    <mergeCell ref="B254:D254"/>
    <mergeCell ref="A255:I255"/>
    <mergeCell ref="A245:C245"/>
    <mergeCell ref="D245:J245"/>
    <mergeCell ref="A246:J246"/>
    <mergeCell ref="A247:J247"/>
    <mergeCell ref="B248:D248"/>
    <mergeCell ref="B249:D249"/>
    <mergeCell ref="A239:J239"/>
    <mergeCell ref="A240:E240"/>
    <mergeCell ref="A241:E241"/>
    <mergeCell ref="A242:E242"/>
    <mergeCell ref="A243:J243"/>
    <mergeCell ref="A244:J244"/>
    <mergeCell ref="A233:E233"/>
    <mergeCell ref="A234:J234"/>
    <mergeCell ref="A235:E235"/>
    <mergeCell ref="A236:E236"/>
    <mergeCell ref="A237:E237"/>
    <mergeCell ref="A238:E238"/>
    <mergeCell ref="A227:J227"/>
    <mergeCell ref="A228:J228"/>
    <mergeCell ref="A229:J229"/>
    <mergeCell ref="A230:J230"/>
    <mergeCell ref="A231:J231"/>
    <mergeCell ref="A232:J232"/>
    <mergeCell ref="A221:C221"/>
    <mergeCell ref="A222:C222"/>
    <mergeCell ref="A223:D223"/>
    <mergeCell ref="A224:J224"/>
    <mergeCell ref="A225:J225"/>
    <mergeCell ref="A226:J226"/>
    <mergeCell ref="C215:D215"/>
    <mergeCell ref="C216:D216"/>
    <mergeCell ref="C217:D217"/>
    <mergeCell ref="A218:D218"/>
    <mergeCell ref="A219:J219"/>
    <mergeCell ref="A220:J220"/>
    <mergeCell ref="A211:D211"/>
    <mergeCell ref="A212:I212"/>
    <mergeCell ref="A213:J213"/>
    <mergeCell ref="A214:D214"/>
    <mergeCell ref="E214:E215"/>
    <mergeCell ref="F214:F215"/>
    <mergeCell ref="G214:G215"/>
    <mergeCell ref="H214:H215"/>
    <mergeCell ref="I214:I215"/>
    <mergeCell ref="J214:J215"/>
    <mergeCell ref="B205:D205"/>
    <mergeCell ref="B206:D206"/>
    <mergeCell ref="B207:D207"/>
    <mergeCell ref="B208:D208"/>
    <mergeCell ref="B209:D209"/>
    <mergeCell ref="A210:D210"/>
    <mergeCell ref="B199:D199"/>
    <mergeCell ref="B200:D200"/>
    <mergeCell ref="B201:D201"/>
    <mergeCell ref="B202:D202"/>
    <mergeCell ref="A203:D203"/>
    <mergeCell ref="A204:I204"/>
    <mergeCell ref="B193:D193"/>
    <mergeCell ref="A194:D194"/>
    <mergeCell ref="A195:J195"/>
    <mergeCell ref="A196:J196"/>
    <mergeCell ref="B197:D197"/>
    <mergeCell ref="A198:I198"/>
    <mergeCell ref="A188:J188"/>
    <mergeCell ref="A189:C189"/>
    <mergeCell ref="D189:J189"/>
    <mergeCell ref="A190:J190"/>
    <mergeCell ref="A191:J191"/>
    <mergeCell ref="B192:D192"/>
    <mergeCell ref="A182:E182"/>
    <mergeCell ref="A183:J183"/>
    <mergeCell ref="A184:E184"/>
    <mergeCell ref="A185:E185"/>
    <mergeCell ref="A186:E186"/>
    <mergeCell ref="A187:J187"/>
    <mergeCell ref="A176:J176"/>
    <mergeCell ref="A177:E177"/>
    <mergeCell ref="A178:J178"/>
    <mergeCell ref="A179:E179"/>
    <mergeCell ref="A180:E180"/>
    <mergeCell ref="A181:E181"/>
    <mergeCell ref="A170:J170"/>
    <mergeCell ref="A171:J171"/>
    <mergeCell ref="A172:J172"/>
    <mergeCell ref="A173:J173"/>
    <mergeCell ref="A174:J174"/>
    <mergeCell ref="A175:J175"/>
    <mergeCell ref="A164:C164"/>
    <mergeCell ref="A165:D165"/>
    <mergeCell ref="A166:J166"/>
    <mergeCell ref="A167:J167"/>
    <mergeCell ref="A168:J168"/>
    <mergeCell ref="A169:J169"/>
    <mergeCell ref="C158:D158"/>
    <mergeCell ref="C159:D159"/>
    <mergeCell ref="A160:D160"/>
    <mergeCell ref="A161:J161"/>
    <mergeCell ref="A162:J162"/>
    <mergeCell ref="A163:C163"/>
    <mergeCell ref="A154:I154"/>
    <mergeCell ref="A155:J155"/>
    <mergeCell ref="A156:D156"/>
    <mergeCell ref="E156:E157"/>
    <mergeCell ref="F156:F157"/>
    <mergeCell ref="G156:G157"/>
    <mergeCell ref="H156:H157"/>
    <mergeCell ref="I156:I157"/>
    <mergeCell ref="J156:J157"/>
    <mergeCell ref="C157:D157"/>
    <mergeCell ref="B148:D148"/>
    <mergeCell ref="B149:D149"/>
    <mergeCell ref="B150:D150"/>
    <mergeCell ref="B151:D151"/>
    <mergeCell ref="A152:D152"/>
    <mergeCell ref="A153:D153"/>
    <mergeCell ref="B142:D142"/>
    <mergeCell ref="B143:D143"/>
    <mergeCell ref="B144:D144"/>
    <mergeCell ref="B145:D145"/>
    <mergeCell ref="A146:D146"/>
    <mergeCell ref="A147:I147"/>
    <mergeCell ref="B136:D136"/>
    <mergeCell ref="A137:D137"/>
    <mergeCell ref="A138:J138"/>
    <mergeCell ref="A139:J139"/>
    <mergeCell ref="B140:D140"/>
    <mergeCell ref="A141:I141"/>
    <mergeCell ref="A130:J130"/>
    <mergeCell ref="A131:J131"/>
    <mergeCell ref="A132:J132"/>
    <mergeCell ref="A133:J133"/>
    <mergeCell ref="A134:J134"/>
    <mergeCell ref="B135:D135"/>
    <mergeCell ref="A124:E124"/>
    <mergeCell ref="A125:E125"/>
    <mergeCell ref="A126:E126"/>
    <mergeCell ref="A127:J127"/>
    <mergeCell ref="A128:E128"/>
    <mergeCell ref="A129:E129"/>
    <mergeCell ref="A118:J118"/>
    <mergeCell ref="A119:J119"/>
    <mergeCell ref="A120:J120"/>
    <mergeCell ref="A121:E121"/>
    <mergeCell ref="A122:J122"/>
    <mergeCell ref="A123:E123"/>
    <mergeCell ref="A112:J112"/>
    <mergeCell ref="A113:J113"/>
    <mergeCell ref="A114:J114"/>
    <mergeCell ref="A115:J115"/>
    <mergeCell ref="A116:J116"/>
    <mergeCell ref="A117:J117"/>
    <mergeCell ref="A106:J106"/>
    <mergeCell ref="A107:J107"/>
    <mergeCell ref="A108:C108"/>
    <mergeCell ref="A109:C109"/>
    <mergeCell ref="A110:D110"/>
    <mergeCell ref="A111:J111"/>
    <mergeCell ref="C100:D100"/>
    <mergeCell ref="C101:D101"/>
    <mergeCell ref="C102:D102"/>
    <mergeCell ref="C103:D103"/>
    <mergeCell ref="C104:D104"/>
    <mergeCell ref="A105:D105"/>
    <mergeCell ref="A96:D96"/>
    <mergeCell ref="A97:I97"/>
    <mergeCell ref="A98:J98"/>
    <mergeCell ref="A99:D99"/>
    <mergeCell ref="E99:E100"/>
    <mergeCell ref="F99:F100"/>
    <mergeCell ref="G99:G100"/>
    <mergeCell ref="H99:H100"/>
    <mergeCell ref="I99:I100"/>
    <mergeCell ref="J99:J100"/>
    <mergeCell ref="B90:D90"/>
    <mergeCell ref="B91:D91"/>
    <mergeCell ref="B92:D92"/>
    <mergeCell ref="B93:D93"/>
    <mergeCell ref="B94:D94"/>
    <mergeCell ref="A95:D95"/>
    <mergeCell ref="A84:D84"/>
    <mergeCell ref="A85:I85"/>
    <mergeCell ref="B86:D86"/>
    <mergeCell ref="B87:D87"/>
    <mergeCell ref="B88:D88"/>
    <mergeCell ref="B89:D89"/>
    <mergeCell ref="B78:D78"/>
    <mergeCell ref="A79:I79"/>
    <mergeCell ref="B80:D80"/>
    <mergeCell ref="B81:D81"/>
    <mergeCell ref="B82:D82"/>
    <mergeCell ref="B83:D83"/>
    <mergeCell ref="A72:J72"/>
    <mergeCell ref="B73:D73"/>
    <mergeCell ref="B74:D74"/>
    <mergeCell ref="A75:D75"/>
    <mergeCell ref="A76:J76"/>
    <mergeCell ref="A77:J77"/>
    <mergeCell ref="A67:D67"/>
    <mergeCell ref="A68:J68"/>
    <mergeCell ref="A69:J69"/>
    <mergeCell ref="A70:C70"/>
    <mergeCell ref="D70:J70"/>
    <mergeCell ref="A71:J71"/>
    <mergeCell ref="C61:D61"/>
    <mergeCell ref="A62:D62"/>
    <mergeCell ref="A63:J63"/>
    <mergeCell ref="A64:D64"/>
    <mergeCell ref="A65:J65"/>
    <mergeCell ref="A66:J66"/>
    <mergeCell ref="A55:J55"/>
    <mergeCell ref="A56:J56"/>
    <mergeCell ref="C57:D57"/>
    <mergeCell ref="C58:D58"/>
    <mergeCell ref="C59:D59"/>
    <mergeCell ref="C60:D60"/>
    <mergeCell ref="B49:D49"/>
    <mergeCell ref="B50:D50"/>
    <mergeCell ref="B51:D51"/>
    <mergeCell ref="B52:D52"/>
    <mergeCell ref="B53:D53"/>
    <mergeCell ref="A54:D54"/>
    <mergeCell ref="B43:D43"/>
    <mergeCell ref="B44:D44"/>
    <mergeCell ref="A45:D45"/>
    <mergeCell ref="A46:D46"/>
    <mergeCell ref="A47:J47"/>
    <mergeCell ref="A48:J48"/>
    <mergeCell ref="B37:D37"/>
    <mergeCell ref="A38:D38"/>
    <mergeCell ref="A39:J39"/>
    <mergeCell ref="A40:J40"/>
    <mergeCell ref="B41:D41"/>
    <mergeCell ref="B42:D42"/>
    <mergeCell ref="A31:J31"/>
    <mergeCell ref="B32:D32"/>
    <mergeCell ref="A33:J33"/>
    <mergeCell ref="B34:D34"/>
    <mergeCell ref="B35:D35"/>
    <mergeCell ref="B36:D36"/>
    <mergeCell ref="A25:J25"/>
    <mergeCell ref="A26:J26"/>
    <mergeCell ref="A27:J27"/>
    <mergeCell ref="A28:J28"/>
    <mergeCell ref="A29:J29"/>
    <mergeCell ref="A30:J30"/>
    <mergeCell ref="A19:J19"/>
    <mergeCell ref="A20:J20"/>
    <mergeCell ref="A21:J21"/>
    <mergeCell ref="A22:J22"/>
    <mergeCell ref="A23:J23"/>
    <mergeCell ref="A24:J24"/>
    <mergeCell ref="A13:J13"/>
    <mergeCell ref="A14:J14"/>
    <mergeCell ref="A15:J15"/>
    <mergeCell ref="A16:J16"/>
    <mergeCell ref="A17:J17"/>
    <mergeCell ref="A18:J18"/>
    <mergeCell ref="A1:J1"/>
    <mergeCell ref="A2:J2"/>
    <mergeCell ref="A3:J3"/>
    <mergeCell ref="A10:J10"/>
    <mergeCell ref="A11:J11"/>
    <mergeCell ref="A12:J12"/>
  </mergeCells>
  <printOptions horizontalCentered="1"/>
  <pageMargins left="0.25" right="0.25" top="0.75" bottom="0.75" header="0.3" footer="0.3"/>
  <pageSetup fitToHeight="0" orientation="portrait" r:id="rId1"/>
  <rowBreaks count="11" manualBreakCount="11">
    <brk id="46" max="9" man="1"/>
    <brk id="68" max="9" man="1"/>
    <brk id="106" max="9" man="1"/>
    <brk id="130" max="9" man="1"/>
    <brk id="166" max="9" man="1"/>
    <brk id="187" max="9" man="1"/>
    <brk id="224" max="9" man="1"/>
    <brk id="243" max="9" man="1"/>
    <brk id="283" max="9" man="1"/>
    <brk id="310" max="9" man="1"/>
    <brk id="35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727"/>
  <sheetViews>
    <sheetView view="pageBreakPre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11" style="100" customWidth="1"/>
    <col min="6" max="6" width="10.42578125" style="249" customWidth="1"/>
    <col min="7" max="7" width="10.42578125" style="100" customWidth="1"/>
    <col min="8" max="8" width="11" style="100" customWidth="1"/>
    <col min="9" max="9" width="10.85546875" style="100" customWidth="1"/>
    <col min="10" max="10" width="10.7109375" style="100" customWidth="1"/>
    <col min="11" max="16384" width="9.140625" style="100"/>
  </cols>
  <sheetData>
    <row r="1" spans="1:10" ht="15" customHeight="1" x14ac:dyDescent="0.2">
      <c r="A1" s="98" t="s">
        <v>254</v>
      </c>
      <c r="B1" s="98"/>
      <c r="C1" s="99"/>
      <c r="D1" s="99"/>
      <c r="E1" s="99"/>
      <c r="F1" s="99"/>
      <c r="G1" s="99"/>
      <c r="H1" s="99"/>
      <c r="I1" s="99"/>
      <c r="J1" s="99"/>
    </row>
    <row r="2" spans="1:10" ht="15" customHeight="1" x14ac:dyDescent="0.2">
      <c r="A2" s="98" t="s">
        <v>1013</v>
      </c>
      <c r="B2" s="98"/>
      <c r="C2" s="101"/>
      <c r="D2" s="101"/>
      <c r="E2" s="101"/>
      <c r="F2" s="101"/>
      <c r="G2" s="101"/>
      <c r="H2" s="101"/>
      <c r="I2" s="101"/>
      <c r="J2" s="101"/>
    </row>
    <row r="3" spans="1:10" ht="15" thickBot="1" x14ac:dyDescent="0.25">
      <c r="A3" s="409"/>
      <c r="B3" s="409"/>
      <c r="C3" s="409"/>
      <c r="D3" s="409"/>
      <c r="E3" s="409"/>
      <c r="F3" s="409"/>
      <c r="G3" s="409"/>
      <c r="H3" s="409"/>
      <c r="I3" s="409"/>
      <c r="J3" s="409"/>
    </row>
    <row r="4" spans="1:10" x14ac:dyDescent="0.2">
      <c r="A4" s="253" t="s">
        <v>256</v>
      </c>
      <c r="B4" s="254" t="s">
        <v>257</v>
      </c>
      <c r="C4" s="254"/>
      <c r="D4" s="254"/>
      <c r="E4" s="254"/>
      <c r="F4" s="254"/>
      <c r="G4" s="255"/>
      <c r="H4" s="255"/>
      <c r="I4" s="255"/>
      <c r="J4" s="256"/>
    </row>
    <row r="5" spans="1:10" x14ac:dyDescent="0.2">
      <c r="A5" s="109"/>
      <c r="B5" s="106" t="s">
        <v>1014</v>
      </c>
      <c r="C5" s="110"/>
      <c r="D5" s="110"/>
      <c r="E5" s="106"/>
      <c r="F5" s="106"/>
      <c r="G5" s="111"/>
      <c r="H5" s="111"/>
      <c r="I5" s="111"/>
      <c r="J5" s="112"/>
    </row>
    <row r="6" spans="1:10" x14ac:dyDescent="0.2">
      <c r="A6" s="109"/>
      <c r="B6" s="106" t="s">
        <v>1015</v>
      </c>
      <c r="C6" s="110"/>
      <c r="D6" s="110"/>
      <c r="E6" s="106"/>
      <c r="F6" s="106"/>
      <c r="G6" s="111"/>
      <c r="H6" s="111"/>
      <c r="I6" s="111"/>
      <c r="J6" s="112">
        <f>H79</f>
        <v>27696600</v>
      </c>
    </row>
    <row r="7" spans="1:10" x14ac:dyDescent="0.2">
      <c r="A7" s="115" t="s">
        <v>260</v>
      </c>
      <c r="B7" s="116" t="s">
        <v>261</v>
      </c>
      <c r="C7" s="116"/>
      <c r="D7" s="116" t="s">
        <v>1016</v>
      </c>
      <c r="E7" s="116"/>
      <c r="F7" s="117"/>
      <c r="G7" s="117"/>
      <c r="H7" s="117"/>
      <c r="I7" s="117"/>
      <c r="J7" s="118"/>
    </row>
    <row r="8" spans="1:10" ht="15" thickBot="1" x14ac:dyDescent="0.25">
      <c r="A8" s="119" t="s">
        <v>263</v>
      </c>
      <c r="B8" s="121" t="s">
        <v>1017</v>
      </c>
      <c r="C8" s="121"/>
      <c r="D8" s="121"/>
      <c r="E8" s="121"/>
      <c r="F8" s="123"/>
      <c r="G8" s="123"/>
      <c r="H8" s="123"/>
      <c r="I8" s="123"/>
      <c r="J8" s="124"/>
    </row>
    <row r="9" spans="1:10" ht="15" x14ac:dyDescent="0.2">
      <c r="A9" s="410"/>
      <c r="B9" s="411"/>
      <c r="C9" s="411"/>
      <c r="D9" s="411"/>
      <c r="E9" s="411"/>
      <c r="F9" s="411"/>
      <c r="G9" s="411"/>
      <c r="H9" s="411"/>
      <c r="I9" s="411"/>
      <c r="J9" s="412"/>
    </row>
    <row r="10" spans="1:10" ht="15" customHeight="1" x14ac:dyDescent="0.2">
      <c r="A10" s="128" t="s">
        <v>265</v>
      </c>
      <c r="B10" s="128"/>
      <c r="C10" s="128"/>
      <c r="D10" s="128"/>
      <c r="E10" s="128"/>
      <c r="F10" s="128"/>
      <c r="G10" s="128"/>
      <c r="H10" s="128"/>
      <c r="I10" s="128"/>
      <c r="J10" s="128"/>
    </row>
    <row r="11" spans="1:10" x14ac:dyDescent="0.2">
      <c r="A11" s="317" t="s">
        <v>823</v>
      </c>
      <c r="B11" s="317"/>
      <c r="C11" s="317"/>
      <c r="D11" s="317"/>
      <c r="E11" s="317"/>
      <c r="F11" s="317"/>
      <c r="G11" s="317"/>
      <c r="H11" s="317"/>
      <c r="I11" s="317"/>
      <c r="J11" s="317"/>
    </row>
    <row r="12" spans="1:10" x14ac:dyDescent="0.2">
      <c r="A12" s="317" t="s">
        <v>775</v>
      </c>
      <c r="B12" s="317"/>
      <c r="C12" s="317"/>
      <c r="D12" s="317"/>
      <c r="E12" s="317"/>
      <c r="F12" s="317"/>
      <c r="G12" s="317"/>
      <c r="H12" s="317"/>
      <c r="I12" s="317"/>
      <c r="J12" s="317"/>
    </row>
    <row r="13" spans="1:10" ht="15" customHeight="1" x14ac:dyDescent="0.2">
      <c r="A13" s="128" t="s">
        <v>267</v>
      </c>
      <c r="B13" s="128"/>
      <c r="C13" s="128"/>
      <c r="D13" s="128"/>
      <c r="E13" s="128"/>
      <c r="F13" s="128"/>
      <c r="G13" s="128"/>
      <c r="H13" s="128"/>
      <c r="I13" s="128"/>
      <c r="J13" s="128"/>
    </row>
    <row r="14" spans="1:10" x14ac:dyDescent="0.2">
      <c r="A14" s="317" t="s">
        <v>826</v>
      </c>
      <c r="B14" s="317"/>
      <c r="C14" s="317"/>
      <c r="D14" s="317"/>
      <c r="E14" s="317"/>
      <c r="F14" s="317"/>
      <c r="G14" s="317"/>
      <c r="H14" s="317"/>
      <c r="I14" s="317"/>
      <c r="J14" s="317"/>
    </row>
    <row r="15" spans="1:10" x14ac:dyDescent="0.2">
      <c r="A15" s="317" t="s">
        <v>496</v>
      </c>
      <c r="B15" s="317"/>
      <c r="C15" s="317"/>
      <c r="D15" s="317"/>
      <c r="E15" s="317"/>
      <c r="F15" s="317"/>
      <c r="G15" s="317"/>
      <c r="H15" s="317"/>
      <c r="I15" s="317"/>
      <c r="J15" s="317"/>
    </row>
    <row r="16" spans="1:10" x14ac:dyDescent="0.2">
      <c r="A16" s="317" t="s">
        <v>1018</v>
      </c>
      <c r="B16" s="317"/>
      <c r="C16" s="317"/>
      <c r="D16" s="317"/>
      <c r="E16" s="317"/>
      <c r="F16" s="317"/>
      <c r="G16" s="317"/>
      <c r="H16" s="317"/>
      <c r="I16" s="317"/>
      <c r="J16" s="317"/>
    </row>
    <row r="17" spans="1:10" x14ac:dyDescent="0.2">
      <c r="A17" s="128" t="s">
        <v>269</v>
      </c>
      <c r="B17" s="128"/>
      <c r="C17" s="128"/>
      <c r="D17" s="128"/>
      <c r="E17" s="128"/>
      <c r="F17" s="128"/>
      <c r="G17" s="128"/>
      <c r="H17" s="128"/>
      <c r="I17" s="128"/>
      <c r="J17" s="128"/>
    </row>
    <row r="18" spans="1:10" x14ac:dyDescent="0.2">
      <c r="A18" s="317" t="s">
        <v>1019</v>
      </c>
      <c r="B18" s="317"/>
      <c r="C18" s="317"/>
      <c r="D18" s="317"/>
      <c r="E18" s="317"/>
      <c r="F18" s="317"/>
      <c r="G18" s="317"/>
      <c r="H18" s="317"/>
      <c r="I18" s="317"/>
      <c r="J18" s="317"/>
    </row>
    <row r="19" spans="1:10" x14ac:dyDescent="0.2">
      <c r="A19" s="129"/>
      <c r="B19" s="129"/>
      <c r="C19" s="129"/>
      <c r="D19" s="129"/>
      <c r="E19" s="129"/>
      <c r="F19" s="129"/>
      <c r="G19" s="129"/>
      <c r="H19" s="129"/>
      <c r="I19" s="129"/>
      <c r="J19" s="129"/>
    </row>
    <row r="20" spans="1:10" x14ac:dyDescent="0.2">
      <c r="A20" s="128" t="s">
        <v>272</v>
      </c>
      <c r="B20" s="128"/>
      <c r="C20" s="128"/>
      <c r="D20" s="128"/>
      <c r="E20" s="128"/>
      <c r="F20" s="128"/>
      <c r="G20" s="128"/>
      <c r="H20" s="128"/>
      <c r="I20" s="128"/>
      <c r="J20" s="128"/>
    </row>
    <row r="21" spans="1:10" ht="25.5" customHeight="1" x14ac:dyDescent="0.2">
      <c r="A21" s="317" t="s">
        <v>1020</v>
      </c>
      <c r="B21" s="317"/>
      <c r="C21" s="317"/>
      <c r="D21" s="317"/>
      <c r="E21" s="317"/>
      <c r="F21" s="317"/>
      <c r="G21" s="317"/>
      <c r="H21" s="317"/>
      <c r="I21" s="317"/>
      <c r="J21" s="317"/>
    </row>
    <row r="22" spans="1:10" x14ac:dyDescent="0.2">
      <c r="A22" s="373"/>
      <c r="B22" s="373"/>
      <c r="C22" s="373"/>
      <c r="D22" s="373"/>
      <c r="E22" s="373"/>
      <c r="F22" s="373"/>
      <c r="G22" s="373"/>
      <c r="H22" s="373"/>
      <c r="I22" s="373"/>
      <c r="J22" s="373"/>
    </row>
    <row r="23" spans="1:10" x14ac:dyDescent="0.2">
      <c r="A23" s="128" t="s">
        <v>275</v>
      </c>
      <c r="B23" s="128"/>
      <c r="C23" s="128"/>
      <c r="D23" s="128"/>
      <c r="E23" s="128"/>
      <c r="F23" s="128"/>
      <c r="G23" s="128"/>
      <c r="H23" s="128"/>
      <c r="I23" s="128"/>
      <c r="J23" s="128"/>
    </row>
    <row r="24" spans="1:10" ht="33.75" x14ac:dyDescent="0.2">
      <c r="A24" s="130" t="s">
        <v>243</v>
      </c>
      <c r="B24" s="131" t="s">
        <v>242</v>
      </c>
      <c r="C24" s="131"/>
      <c r="D24" s="131"/>
      <c r="E24" s="132" t="str">
        <f>Summary!$G$25</f>
        <v>Actuals           2014-2015</v>
      </c>
      <c r="F24" s="132" t="str">
        <f>Summary!$H$25</f>
        <v>Approved Estimates          2015-2016</v>
      </c>
      <c r="G24" s="132" t="str">
        <f>Summary!$I$25</f>
        <v>Revised Estimates                 2015-2016</v>
      </c>
      <c r="H24" s="132" t="str">
        <f>Summary!$J$25</f>
        <v>Budget Estimates      2016-2017</v>
      </c>
      <c r="I24" s="132" t="str">
        <f>Summary!$K$25</f>
        <v>Forward Estimates     2017-2018</v>
      </c>
      <c r="J24" s="132" t="str">
        <f>Summary!$L$25</f>
        <v>Forward Estimates     2018-2019</v>
      </c>
    </row>
    <row r="25" spans="1:10" x14ac:dyDescent="0.2">
      <c r="A25" s="128" t="s">
        <v>276</v>
      </c>
      <c r="B25" s="128"/>
      <c r="C25" s="128"/>
      <c r="D25" s="128"/>
      <c r="E25" s="128"/>
      <c r="F25" s="128"/>
      <c r="G25" s="128"/>
      <c r="H25" s="128"/>
      <c r="I25" s="128"/>
      <c r="J25" s="128"/>
    </row>
    <row r="26" spans="1:10" x14ac:dyDescent="0.2">
      <c r="A26" s="207">
        <v>200</v>
      </c>
      <c r="B26" s="129" t="s">
        <v>501</v>
      </c>
      <c r="C26" s="129"/>
      <c r="D26" s="129"/>
      <c r="E26" s="211">
        <f t="shared" ref="E26:J26" si="0">E91</f>
        <v>23300</v>
      </c>
      <c r="F26" s="209">
        <f t="shared" si="0"/>
        <v>0</v>
      </c>
      <c r="G26" s="211">
        <f t="shared" si="0"/>
        <v>45600</v>
      </c>
      <c r="H26" s="210">
        <f t="shared" si="0"/>
        <v>0</v>
      </c>
      <c r="I26" s="211">
        <f t="shared" si="0"/>
        <v>0</v>
      </c>
      <c r="J26" s="211">
        <f t="shared" si="0"/>
        <v>0</v>
      </c>
    </row>
    <row r="27" spans="1:10" x14ac:dyDescent="0.2">
      <c r="A27" s="207">
        <v>203</v>
      </c>
      <c r="B27" s="129" t="s">
        <v>1021</v>
      </c>
      <c r="C27" s="129"/>
      <c r="D27" s="129"/>
      <c r="E27" s="211">
        <f t="shared" ref="E27:J27" si="1">E176</f>
        <v>77157176.339999989</v>
      </c>
      <c r="F27" s="209">
        <f t="shared" si="1"/>
        <v>81645000</v>
      </c>
      <c r="G27" s="211">
        <f t="shared" si="1"/>
        <v>77979200</v>
      </c>
      <c r="H27" s="210">
        <f t="shared" si="1"/>
        <v>80659900</v>
      </c>
      <c r="I27" s="211">
        <f t="shared" si="1"/>
        <v>79989600</v>
      </c>
      <c r="J27" s="211">
        <f t="shared" si="1"/>
        <v>79676300</v>
      </c>
    </row>
    <row r="28" spans="1:10" x14ac:dyDescent="0.2">
      <c r="A28" s="207">
        <v>204</v>
      </c>
      <c r="B28" s="129" t="s">
        <v>1022</v>
      </c>
      <c r="C28" s="129"/>
      <c r="D28" s="129"/>
      <c r="E28" s="211">
        <f t="shared" ref="E28:J28" si="2">E259</f>
        <v>0</v>
      </c>
      <c r="F28" s="209">
        <f t="shared" si="2"/>
        <v>0</v>
      </c>
      <c r="G28" s="211">
        <f t="shared" si="2"/>
        <v>0</v>
      </c>
      <c r="H28" s="210">
        <f t="shared" si="2"/>
        <v>0</v>
      </c>
      <c r="I28" s="211">
        <f t="shared" si="2"/>
        <v>0</v>
      </c>
      <c r="J28" s="211">
        <f t="shared" si="2"/>
        <v>0</v>
      </c>
    </row>
    <row r="29" spans="1:10" x14ac:dyDescent="0.2">
      <c r="A29" s="207">
        <v>205</v>
      </c>
      <c r="B29" s="129" t="s">
        <v>1023</v>
      </c>
      <c r="C29" s="129"/>
      <c r="D29" s="129"/>
      <c r="E29" s="211">
        <f t="shared" ref="E29:J29" si="3">E340</f>
        <v>451823.78</v>
      </c>
      <c r="F29" s="209">
        <f t="shared" si="3"/>
        <v>1037500</v>
      </c>
      <c r="G29" s="211">
        <f t="shared" si="3"/>
        <v>1094800</v>
      </c>
      <c r="H29" s="210">
        <f t="shared" si="3"/>
        <v>167500</v>
      </c>
      <c r="I29" s="211">
        <f t="shared" si="3"/>
        <v>167500</v>
      </c>
      <c r="J29" s="211">
        <f t="shared" si="3"/>
        <v>167500</v>
      </c>
    </row>
    <row r="30" spans="1:10" x14ac:dyDescent="0.2">
      <c r="A30" s="207">
        <v>206</v>
      </c>
      <c r="B30" s="129" t="s">
        <v>1024</v>
      </c>
      <c r="C30" s="129"/>
      <c r="D30" s="129"/>
      <c r="E30" s="211">
        <f t="shared" ref="E30:J30" si="4">E424</f>
        <v>36455171.240000002</v>
      </c>
      <c r="F30" s="209">
        <f t="shared" si="4"/>
        <v>37240500</v>
      </c>
      <c r="G30" s="211">
        <f t="shared" si="4"/>
        <v>36520700</v>
      </c>
      <c r="H30" s="210">
        <f t="shared" si="4"/>
        <v>38076700</v>
      </c>
      <c r="I30" s="211">
        <f t="shared" si="4"/>
        <v>38817200</v>
      </c>
      <c r="J30" s="211">
        <f t="shared" si="4"/>
        <v>39570300</v>
      </c>
    </row>
    <row r="31" spans="1:10" x14ac:dyDescent="0.2">
      <c r="A31" s="207">
        <v>207</v>
      </c>
      <c r="B31" s="129" t="s">
        <v>1025</v>
      </c>
      <c r="C31" s="129"/>
      <c r="D31" s="129"/>
      <c r="E31" s="211">
        <f t="shared" ref="E31:J31" si="5">E510</f>
        <v>288432.32</v>
      </c>
      <c r="F31" s="209">
        <f t="shared" si="5"/>
        <v>215500</v>
      </c>
      <c r="G31" s="211">
        <f t="shared" si="5"/>
        <v>294200</v>
      </c>
      <c r="H31" s="210">
        <f t="shared" si="5"/>
        <v>245500</v>
      </c>
      <c r="I31" s="211">
        <f t="shared" si="5"/>
        <v>245500</v>
      </c>
      <c r="J31" s="211">
        <f t="shared" si="5"/>
        <v>245500</v>
      </c>
    </row>
    <row r="32" spans="1:10" x14ac:dyDescent="0.2">
      <c r="A32" s="207">
        <v>208</v>
      </c>
      <c r="B32" s="129" t="s">
        <v>1026</v>
      </c>
      <c r="C32" s="129"/>
      <c r="D32" s="129"/>
      <c r="E32" s="211">
        <f t="shared" ref="E32:J32" si="6">E567</f>
        <v>0</v>
      </c>
      <c r="F32" s="209">
        <f t="shared" si="6"/>
        <v>0</v>
      </c>
      <c r="G32" s="211">
        <f t="shared" si="6"/>
        <v>0</v>
      </c>
      <c r="H32" s="210">
        <f t="shared" si="6"/>
        <v>0</v>
      </c>
      <c r="I32" s="211">
        <f t="shared" si="6"/>
        <v>0</v>
      </c>
      <c r="J32" s="211">
        <f t="shared" si="6"/>
        <v>0</v>
      </c>
    </row>
    <row r="33" spans="1:10" ht="15" customHeight="1" x14ac:dyDescent="0.2">
      <c r="A33" s="137" t="s">
        <v>1027</v>
      </c>
      <c r="B33" s="137"/>
      <c r="C33" s="137"/>
      <c r="D33" s="137"/>
      <c r="E33" s="138">
        <f t="shared" ref="E33:J33" si="7">SUM(E26:E32)</f>
        <v>114375903.67999998</v>
      </c>
      <c r="F33" s="138">
        <f t="shared" si="7"/>
        <v>120138500</v>
      </c>
      <c r="G33" s="138">
        <f t="shared" si="7"/>
        <v>115934500</v>
      </c>
      <c r="H33" s="138">
        <f t="shared" si="7"/>
        <v>119149600</v>
      </c>
      <c r="I33" s="138">
        <f t="shared" si="7"/>
        <v>119219800</v>
      </c>
      <c r="J33" s="138">
        <f t="shared" si="7"/>
        <v>119659600</v>
      </c>
    </row>
    <row r="34" spans="1:10" ht="8.25" customHeight="1" x14ac:dyDescent="0.2">
      <c r="A34" s="129"/>
      <c r="B34" s="129"/>
      <c r="C34" s="129"/>
      <c r="D34" s="129"/>
      <c r="E34" s="129"/>
      <c r="F34" s="129"/>
      <c r="G34" s="129"/>
      <c r="H34" s="129"/>
      <c r="I34" s="129"/>
      <c r="J34" s="129"/>
    </row>
    <row r="35" spans="1:10" x14ac:dyDescent="0.2">
      <c r="A35" s="128" t="s">
        <v>281</v>
      </c>
      <c r="B35" s="128"/>
      <c r="C35" s="128"/>
      <c r="D35" s="128"/>
      <c r="E35" s="128"/>
      <c r="F35" s="128"/>
      <c r="G35" s="128"/>
      <c r="H35" s="128"/>
      <c r="I35" s="128"/>
      <c r="J35" s="128"/>
    </row>
    <row r="36" spans="1:10" x14ac:dyDescent="0.2">
      <c r="A36" s="207">
        <v>200</v>
      </c>
      <c r="B36" s="129" t="s">
        <v>501</v>
      </c>
      <c r="C36" s="101"/>
      <c r="D36" s="101"/>
      <c r="E36" s="211">
        <f t="shared" ref="E36:J36" si="8">E116+E122</f>
        <v>7421233.0600000005</v>
      </c>
      <c r="F36" s="211">
        <f t="shared" si="8"/>
        <v>2028100</v>
      </c>
      <c r="G36" s="211">
        <f t="shared" si="8"/>
        <v>1839900</v>
      </c>
      <c r="H36" s="210">
        <f t="shared" si="8"/>
        <v>2568700</v>
      </c>
      <c r="I36" s="211">
        <f t="shared" si="8"/>
        <v>2233800</v>
      </c>
      <c r="J36" s="211">
        <f t="shared" si="8"/>
        <v>2236400</v>
      </c>
    </row>
    <row r="37" spans="1:10" x14ac:dyDescent="0.2">
      <c r="A37" s="207">
        <v>203</v>
      </c>
      <c r="B37" s="129" t="s">
        <v>1021</v>
      </c>
      <c r="C37" s="101"/>
      <c r="D37" s="101"/>
      <c r="E37" s="211">
        <f t="shared" ref="E37:J37" si="9">E195+E221</f>
        <v>25290545.089999996</v>
      </c>
      <c r="F37" s="211">
        <f t="shared" si="9"/>
        <v>31110500</v>
      </c>
      <c r="G37" s="211">
        <f t="shared" si="9"/>
        <v>29725900</v>
      </c>
      <c r="H37" s="210">
        <f t="shared" si="9"/>
        <v>18514800</v>
      </c>
      <c r="I37" s="211">
        <f t="shared" si="9"/>
        <v>4588400</v>
      </c>
      <c r="J37" s="211">
        <f t="shared" si="9"/>
        <v>3743600</v>
      </c>
    </row>
    <row r="38" spans="1:10" x14ac:dyDescent="0.2">
      <c r="A38" s="207">
        <v>204</v>
      </c>
      <c r="B38" s="129" t="s">
        <v>1022</v>
      </c>
      <c r="C38" s="101"/>
      <c r="D38" s="101"/>
      <c r="E38" s="211">
        <f t="shared" ref="E38:J38" si="10">E281+E287</f>
        <v>449951.24</v>
      </c>
      <c r="F38" s="211">
        <f t="shared" si="10"/>
        <v>769000</v>
      </c>
      <c r="G38" s="211">
        <f t="shared" si="10"/>
        <v>611600</v>
      </c>
      <c r="H38" s="210">
        <f t="shared" si="10"/>
        <v>765900</v>
      </c>
      <c r="I38" s="211">
        <f t="shared" si="10"/>
        <v>795000</v>
      </c>
      <c r="J38" s="211">
        <f t="shared" si="10"/>
        <v>799700</v>
      </c>
    </row>
    <row r="39" spans="1:10" x14ac:dyDescent="0.2">
      <c r="A39" s="207">
        <v>205</v>
      </c>
      <c r="B39" s="129" t="s">
        <v>1023</v>
      </c>
      <c r="C39" s="101"/>
      <c r="D39" s="101"/>
      <c r="E39" s="211">
        <f t="shared" ref="E39:J39" si="11">E364+E370</f>
        <v>924298.91</v>
      </c>
      <c r="F39" s="211">
        <f t="shared" si="11"/>
        <v>1043600</v>
      </c>
      <c r="G39" s="211">
        <f t="shared" si="11"/>
        <v>1013700</v>
      </c>
      <c r="H39" s="210">
        <f t="shared" si="11"/>
        <v>1024100</v>
      </c>
      <c r="I39" s="211">
        <f t="shared" si="11"/>
        <v>1070700</v>
      </c>
      <c r="J39" s="211">
        <f t="shared" si="11"/>
        <v>1083000</v>
      </c>
    </row>
    <row r="40" spans="1:10" x14ac:dyDescent="0.2">
      <c r="A40" s="207">
        <v>206</v>
      </c>
      <c r="B40" s="129" t="s">
        <v>1024</v>
      </c>
      <c r="C40" s="101"/>
      <c r="D40" s="101"/>
      <c r="E40" s="211">
        <f t="shared" ref="E40:J40" si="12">E446+E452</f>
        <v>3500733.2199999997</v>
      </c>
      <c r="F40" s="211">
        <f t="shared" si="12"/>
        <v>3846900</v>
      </c>
      <c r="G40" s="211">
        <f t="shared" si="12"/>
        <v>3849200</v>
      </c>
      <c r="H40" s="210">
        <f t="shared" si="12"/>
        <v>3925800</v>
      </c>
      <c r="I40" s="211">
        <f t="shared" si="12"/>
        <v>4040300</v>
      </c>
      <c r="J40" s="211">
        <f t="shared" si="12"/>
        <v>4068800</v>
      </c>
    </row>
    <row r="41" spans="1:10" x14ac:dyDescent="0.2">
      <c r="A41" s="207">
        <v>207</v>
      </c>
      <c r="B41" s="129" t="s">
        <v>1025</v>
      </c>
      <c r="C41" s="101"/>
      <c r="D41" s="101"/>
      <c r="E41" s="211">
        <f t="shared" ref="E41:J41" si="13">E530+E536</f>
        <v>452592.75000000006</v>
      </c>
      <c r="F41" s="211">
        <f t="shared" si="13"/>
        <v>516900</v>
      </c>
      <c r="G41" s="211">
        <f t="shared" si="13"/>
        <v>488300</v>
      </c>
      <c r="H41" s="210">
        <f t="shared" si="13"/>
        <v>507500</v>
      </c>
      <c r="I41" s="211">
        <f t="shared" si="13"/>
        <v>526900</v>
      </c>
      <c r="J41" s="211">
        <f t="shared" si="13"/>
        <v>531100</v>
      </c>
    </row>
    <row r="42" spans="1:10" x14ac:dyDescent="0.2">
      <c r="A42" s="207">
        <v>208</v>
      </c>
      <c r="B42" s="129" t="s">
        <v>1026</v>
      </c>
      <c r="C42" s="101"/>
      <c r="D42" s="101"/>
      <c r="E42" s="211">
        <f t="shared" ref="E42:J42" si="14">E589+E595</f>
        <v>350506.06</v>
      </c>
      <c r="F42" s="211">
        <f t="shared" si="14"/>
        <v>412500</v>
      </c>
      <c r="G42" s="211">
        <f t="shared" si="14"/>
        <v>355100</v>
      </c>
      <c r="H42" s="210">
        <f t="shared" si="14"/>
        <v>389800</v>
      </c>
      <c r="I42" s="211">
        <f t="shared" si="14"/>
        <v>424300</v>
      </c>
      <c r="J42" s="211">
        <f t="shared" si="14"/>
        <v>447800</v>
      </c>
    </row>
    <row r="43" spans="1:10" x14ac:dyDescent="0.2">
      <c r="A43" s="139" t="s">
        <v>1028</v>
      </c>
      <c r="B43" s="139"/>
      <c r="C43" s="139"/>
      <c r="D43" s="139"/>
      <c r="E43" s="140">
        <f t="shared" ref="E43:J43" si="15">SUM(E36:E42)</f>
        <v>38389860.329999998</v>
      </c>
      <c r="F43" s="140">
        <f t="shared" si="15"/>
        <v>39727500</v>
      </c>
      <c r="G43" s="140">
        <f t="shared" si="15"/>
        <v>37883700</v>
      </c>
      <c r="H43" s="140">
        <f t="shared" si="15"/>
        <v>27696600</v>
      </c>
      <c r="I43" s="140">
        <f t="shared" si="15"/>
        <v>13679400</v>
      </c>
      <c r="J43" s="140">
        <f t="shared" si="15"/>
        <v>12910400</v>
      </c>
    </row>
    <row r="44" spans="1:10" ht="7.5" customHeight="1" x14ac:dyDescent="0.2">
      <c r="A44" s="151"/>
      <c r="B44" s="151"/>
      <c r="C44" s="151"/>
      <c r="D44" s="151"/>
      <c r="E44" s="261"/>
      <c r="F44" s="286"/>
      <c r="G44" s="261"/>
      <c r="H44" s="261"/>
      <c r="I44" s="261"/>
      <c r="J44" s="261"/>
    </row>
    <row r="45" spans="1:10" x14ac:dyDescent="0.2">
      <c r="A45" s="141" t="s">
        <v>283</v>
      </c>
      <c r="B45" s="141"/>
      <c r="C45" s="141"/>
      <c r="D45" s="141"/>
      <c r="E45" s="141"/>
      <c r="F45" s="141"/>
      <c r="G45" s="141"/>
      <c r="H45" s="141"/>
      <c r="I45" s="141"/>
      <c r="J45" s="141"/>
    </row>
    <row r="46" spans="1:10" ht="12" customHeight="1" x14ac:dyDescent="0.2">
      <c r="A46" s="131" t="s">
        <v>284</v>
      </c>
      <c r="B46" s="131"/>
      <c r="C46" s="131"/>
      <c r="D46" s="131"/>
      <c r="E46" s="131"/>
      <c r="F46" s="131"/>
      <c r="G46" s="131"/>
      <c r="H46" s="131"/>
      <c r="I46" s="131"/>
      <c r="J46" s="131"/>
    </row>
    <row r="47" spans="1:10" x14ac:dyDescent="0.2">
      <c r="A47" s="207"/>
      <c r="B47" s="129" t="s">
        <v>7</v>
      </c>
      <c r="C47" s="101"/>
      <c r="D47" s="101"/>
      <c r="E47" s="211">
        <f t="shared" ref="E47:J47" si="16">E634</f>
        <v>3692814.7199999997</v>
      </c>
      <c r="F47" s="211">
        <f t="shared" si="16"/>
        <v>4243800</v>
      </c>
      <c r="G47" s="211">
        <f t="shared" si="16"/>
        <v>3963500</v>
      </c>
      <c r="H47" s="210">
        <f t="shared" si="16"/>
        <v>4244300</v>
      </c>
      <c r="I47" s="211">
        <f t="shared" si="16"/>
        <v>4553000</v>
      </c>
      <c r="J47" s="211">
        <f t="shared" si="16"/>
        <v>4622500</v>
      </c>
    </row>
    <row r="48" spans="1:10" x14ac:dyDescent="0.2">
      <c r="A48" s="207"/>
      <c r="B48" s="129" t="s">
        <v>196</v>
      </c>
      <c r="C48" s="101"/>
      <c r="D48" s="101"/>
      <c r="E48" s="211">
        <f t="shared" ref="E48:J48" si="17">E643</f>
        <v>0</v>
      </c>
      <c r="F48" s="211">
        <f t="shared" si="17"/>
        <v>0</v>
      </c>
      <c r="G48" s="211">
        <f t="shared" si="17"/>
        <v>0</v>
      </c>
      <c r="H48" s="210">
        <f t="shared" si="17"/>
        <v>0</v>
      </c>
      <c r="I48" s="211">
        <f t="shared" si="17"/>
        <v>0</v>
      </c>
      <c r="J48" s="211">
        <f t="shared" si="17"/>
        <v>0</v>
      </c>
    </row>
    <row r="49" spans="1:10" x14ac:dyDescent="0.2">
      <c r="A49" s="207"/>
      <c r="B49" s="129" t="s">
        <v>285</v>
      </c>
      <c r="C49" s="101"/>
      <c r="D49" s="101"/>
      <c r="E49" s="211">
        <f t="shared" ref="E49:J49" si="18">E652</f>
        <v>689045.15</v>
      </c>
      <c r="F49" s="211">
        <f t="shared" si="18"/>
        <v>797600</v>
      </c>
      <c r="G49" s="211">
        <f t="shared" si="18"/>
        <v>770900</v>
      </c>
      <c r="H49" s="210">
        <f t="shared" si="18"/>
        <v>821200</v>
      </c>
      <c r="I49" s="211">
        <f t="shared" si="18"/>
        <v>808600</v>
      </c>
      <c r="J49" s="211">
        <f t="shared" si="18"/>
        <v>808600</v>
      </c>
    </row>
    <row r="50" spans="1:10" x14ac:dyDescent="0.2">
      <c r="A50" s="207"/>
      <c r="B50" s="129" t="s">
        <v>198</v>
      </c>
      <c r="C50" s="101"/>
      <c r="D50" s="101"/>
      <c r="E50" s="211">
        <f t="shared" ref="E50:J50" si="19">E661</f>
        <v>4368</v>
      </c>
      <c r="F50" s="211">
        <f t="shared" si="19"/>
        <v>71200</v>
      </c>
      <c r="G50" s="211">
        <f t="shared" si="19"/>
        <v>71200</v>
      </c>
      <c r="H50" s="210">
        <f t="shared" si="19"/>
        <v>0</v>
      </c>
      <c r="I50" s="211">
        <f t="shared" si="19"/>
        <v>9400</v>
      </c>
      <c r="J50" s="211">
        <f t="shared" si="19"/>
        <v>0</v>
      </c>
    </row>
    <row r="51" spans="1:10" x14ac:dyDescent="0.2">
      <c r="A51" s="207"/>
      <c r="B51" s="129" t="s">
        <v>286</v>
      </c>
      <c r="C51" s="101"/>
      <c r="D51" s="101"/>
      <c r="E51" s="211">
        <f t="shared" ref="E51:J51" si="20">E670</f>
        <v>12521869.970000001</v>
      </c>
      <c r="F51" s="211">
        <f t="shared" si="20"/>
        <v>9105700</v>
      </c>
      <c r="G51" s="211">
        <f t="shared" si="20"/>
        <v>6872600</v>
      </c>
      <c r="H51" s="210">
        <f t="shared" si="20"/>
        <v>7596300</v>
      </c>
      <c r="I51" s="211">
        <f t="shared" si="20"/>
        <v>7458900</v>
      </c>
      <c r="J51" s="211">
        <f t="shared" si="20"/>
        <v>7479300</v>
      </c>
    </row>
    <row r="52" spans="1:10" ht="15" customHeight="1" x14ac:dyDescent="0.2">
      <c r="A52" s="317" t="s">
        <v>287</v>
      </c>
      <c r="B52" s="317"/>
      <c r="C52" s="317"/>
      <c r="D52" s="317"/>
      <c r="E52" s="140">
        <f t="shared" ref="E52:J52" si="21">SUM(E47:E51)</f>
        <v>16908097.84</v>
      </c>
      <c r="F52" s="140">
        <f t="shared" si="21"/>
        <v>14218300</v>
      </c>
      <c r="G52" s="140">
        <f t="shared" si="21"/>
        <v>11678200</v>
      </c>
      <c r="H52" s="140">
        <f t="shared" si="21"/>
        <v>12661800</v>
      </c>
      <c r="I52" s="140">
        <f t="shared" si="21"/>
        <v>12829900</v>
      </c>
      <c r="J52" s="140">
        <f t="shared" si="21"/>
        <v>12910400</v>
      </c>
    </row>
    <row r="53" spans="1:10" ht="6.75" customHeight="1" x14ac:dyDescent="0.2">
      <c r="A53" s="129"/>
      <c r="B53" s="129"/>
      <c r="C53" s="129"/>
      <c r="D53" s="129"/>
      <c r="E53" s="129"/>
      <c r="F53" s="129"/>
      <c r="G53" s="129"/>
      <c r="H53" s="129"/>
      <c r="I53" s="129"/>
      <c r="J53" s="129"/>
    </row>
    <row r="54" spans="1:10" x14ac:dyDescent="0.2">
      <c r="A54" s="131" t="s">
        <v>15</v>
      </c>
      <c r="B54" s="131"/>
      <c r="C54" s="131"/>
      <c r="D54" s="131"/>
      <c r="E54" s="131"/>
      <c r="F54" s="131"/>
      <c r="G54" s="131"/>
      <c r="H54" s="131"/>
      <c r="I54" s="131"/>
      <c r="J54" s="131"/>
    </row>
    <row r="55" spans="1:10" ht="33.75" x14ac:dyDescent="0.2">
      <c r="A55" s="130" t="s">
        <v>243</v>
      </c>
      <c r="B55" s="130" t="s">
        <v>244</v>
      </c>
      <c r="C55" s="131" t="s">
        <v>245</v>
      </c>
      <c r="D55" s="142"/>
      <c r="E55" s="132" t="str">
        <f t="shared" ref="E55:J55" si="22">E24</f>
        <v>Actuals           2014-2015</v>
      </c>
      <c r="F55" s="132" t="str">
        <f t="shared" si="22"/>
        <v>Approved Estimates          2015-2016</v>
      </c>
      <c r="G55" s="132" t="str">
        <f t="shared" si="22"/>
        <v>Revised Estimates                 2015-2016</v>
      </c>
      <c r="H55" s="132" t="str">
        <f t="shared" si="22"/>
        <v>Budget Estimates      2016-2017</v>
      </c>
      <c r="I55" s="132" t="str">
        <f t="shared" si="22"/>
        <v>Forward Estimates     2017-2018</v>
      </c>
      <c r="J55" s="132" t="str">
        <f t="shared" si="22"/>
        <v>Forward Estimates     2018-2019</v>
      </c>
    </row>
    <row r="56" spans="1:10" ht="13.5" customHeight="1" x14ac:dyDescent="0.2">
      <c r="A56" s="144" t="str">
        <f t="shared" ref="A56:A76" si="23">RIGHT(A200,3)</f>
        <v>65A</v>
      </c>
      <c r="B56" s="144" t="str">
        <f t="shared" ref="B56:C56" si="24">B200</f>
        <v>DFID</v>
      </c>
      <c r="C56" s="377" t="str">
        <f t="shared" si="24"/>
        <v>Private Sector Development</v>
      </c>
      <c r="D56" s="413"/>
      <c r="E56" s="158">
        <f t="shared" ref="E56:J71" si="25">E200</f>
        <v>399100</v>
      </c>
      <c r="F56" s="209">
        <f t="shared" si="25"/>
        <v>0</v>
      </c>
      <c r="G56" s="158">
        <f t="shared" si="25"/>
        <v>0</v>
      </c>
      <c r="H56" s="136">
        <f t="shared" si="25"/>
        <v>0</v>
      </c>
      <c r="I56" s="158">
        <f t="shared" si="25"/>
        <v>0</v>
      </c>
      <c r="J56" s="135">
        <f t="shared" si="25"/>
        <v>0</v>
      </c>
    </row>
    <row r="57" spans="1:10" ht="13.5" customHeight="1" x14ac:dyDescent="0.2">
      <c r="A57" s="144" t="str">
        <f t="shared" si="23"/>
        <v>78A</v>
      </c>
      <c r="B57" s="144" t="str">
        <f>B201</f>
        <v>EU</v>
      </c>
      <c r="C57" s="377" t="str">
        <f>C201</f>
        <v xml:space="preserve">Project Management </v>
      </c>
      <c r="D57" s="413"/>
      <c r="E57" s="158">
        <f t="shared" si="25"/>
        <v>1291371.47</v>
      </c>
      <c r="F57" s="209">
        <f t="shared" si="25"/>
        <v>2500000</v>
      </c>
      <c r="G57" s="158">
        <f t="shared" si="25"/>
        <v>2500000</v>
      </c>
      <c r="H57" s="136">
        <f t="shared" si="25"/>
        <v>1000000</v>
      </c>
      <c r="I57" s="158">
        <f t="shared" si="25"/>
        <v>500000</v>
      </c>
      <c r="J57" s="135">
        <f t="shared" si="25"/>
        <v>0</v>
      </c>
    </row>
    <row r="58" spans="1:10" ht="13.5" customHeight="1" x14ac:dyDescent="0.2">
      <c r="A58" s="144" t="str">
        <f t="shared" si="23"/>
        <v>32A</v>
      </c>
      <c r="B58" s="144" t="str">
        <f>B202</f>
        <v>DFID</v>
      </c>
      <c r="C58" s="377" t="str">
        <f>C202</f>
        <v>Education Infastructure</v>
      </c>
      <c r="D58" s="413"/>
      <c r="E58" s="158">
        <f t="shared" si="25"/>
        <v>1010773.01</v>
      </c>
      <c r="F58" s="209">
        <f t="shared" si="25"/>
        <v>284800</v>
      </c>
      <c r="G58" s="158">
        <f t="shared" si="25"/>
        <v>394300</v>
      </c>
      <c r="H58" s="136">
        <f t="shared" si="25"/>
        <v>0</v>
      </c>
      <c r="I58" s="158">
        <f t="shared" si="25"/>
        <v>0</v>
      </c>
      <c r="J58" s="135">
        <f t="shared" si="25"/>
        <v>0</v>
      </c>
    </row>
    <row r="59" spans="1:10" ht="13.5" customHeight="1" x14ac:dyDescent="0.2">
      <c r="A59" s="144" t="str">
        <f t="shared" si="23"/>
        <v>61A</v>
      </c>
      <c r="B59" s="144" t="str">
        <f t="shared" ref="B59:C74" si="26">B203</f>
        <v>DFID</v>
      </c>
      <c r="C59" s="377" t="str">
        <f t="shared" si="26"/>
        <v xml:space="preserve">Government Accomodation </v>
      </c>
      <c r="D59" s="413"/>
      <c r="E59" s="158">
        <f t="shared" si="25"/>
        <v>3057051.4699999997</v>
      </c>
      <c r="F59" s="209">
        <f t="shared" si="25"/>
        <v>2200000</v>
      </c>
      <c r="G59" s="158">
        <f t="shared" si="25"/>
        <v>2224000</v>
      </c>
      <c r="H59" s="136">
        <f t="shared" si="25"/>
        <v>41600</v>
      </c>
      <c r="I59" s="158">
        <f t="shared" si="25"/>
        <v>0</v>
      </c>
      <c r="J59" s="135">
        <f t="shared" si="25"/>
        <v>0</v>
      </c>
    </row>
    <row r="60" spans="1:10" ht="13.5" customHeight="1" x14ac:dyDescent="0.2">
      <c r="A60" s="144" t="str">
        <f t="shared" si="23"/>
        <v>33A</v>
      </c>
      <c r="B60" s="144" t="str">
        <f t="shared" si="26"/>
        <v>DFID</v>
      </c>
      <c r="C60" s="377" t="str">
        <f t="shared" si="26"/>
        <v>Census 2012</v>
      </c>
      <c r="D60" s="413"/>
      <c r="E60" s="158">
        <f t="shared" si="25"/>
        <v>0</v>
      </c>
      <c r="F60" s="209">
        <f t="shared" si="25"/>
        <v>157400</v>
      </c>
      <c r="G60" s="158">
        <f t="shared" si="25"/>
        <v>157400</v>
      </c>
      <c r="H60" s="136">
        <f t="shared" si="25"/>
        <v>157400</v>
      </c>
      <c r="I60" s="158">
        <f t="shared" si="25"/>
        <v>0</v>
      </c>
      <c r="J60" s="135">
        <f t="shared" si="25"/>
        <v>0</v>
      </c>
    </row>
    <row r="61" spans="1:10" ht="13.5" customHeight="1" x14ac:dyDescent="0.2">
      <c r="A61" s="144" t="str">
        <f t="shared" si="23"/>
        <v>34A</v>
      </c>
      <c r="B61" s="144" t="str">
        <f t="shared" si="26"/>
        <v>DFID</v>
      </c>
      <c r="C61" s="377" t="str">
        <f t="shared" si="26"/>
        <v>Technical Support</v>
      </c>
      <c r="D61" s="413"/>
      <c r="E61" s="158">
        <f t="shared" si="25"/>
        <v>992344.27999999991</v>
      </c>
      <c r="F61" s="209">
        <f t="shared" si="25"/>
        <v>0</v>
      </c>
      <c r="G61" s="158">
        <f t="shared" si="25"/>
        <v>0</v>
      </c>
      <c r="H61" s="136">
        <f t="shared" si="25"/>
        <v>0</v>
      </c>
      <c r="I61" s="158">
        <f t="shared" si="25"/>
        <v>0</v>
      </c>
      <c r="J61" s="135">
        <f t="shared" si="25"/>
        <v>0</v>
      </c>
    </row>
    <row r="62" spans="1:10" ht="13.5" customHeight="1" x14ac:dyDescent="0.2">
      <c r="A62" s="144" t="str">
        <f t="shared" si="23"/>
        <v>36A</v>
      </c>
      <c r="B62" s="144" t="str">
        <f t="shared" si="26"/>
        <v>EU</v>
      </c>
      <c r="C62" s="377" t="str">
        <f t="shared" si="26"/>
        <v xml:space="preserve">Carr's Bay Port Development </v>
      </c>
      <c r="D62" s="413"/>
      <c r="E62" s="158">
        <f t="shared" si="25"/>
        <v>1598124.3800000001</v>
      </c>
      <c r="F62" s="209">
        <f t="shared" si="25"/>
        <v>0</v>
      </c>
      <c r="G62" s="158">
        <f t="shared" si="25"/>
        <v>0</v>
      </c>
      <c r="H62" s="136">
        <f t="shared" si="25"/>
        <v>0</v>
      </c>
      <c r="I62" s="158">
        <f t="shared" si="25"/>
        <v>0</v>
      </c>
      <c r="J62" s="135">
        <f t="shared" si="25"/>
        <v>0</v>
      </c>
    </row>
    <row r="63" spans="1:10" ht="13.5" customHeight="1" x14ac:dyDescent="0.2">
      <c r="A63" s="144" t="str">
        <f t="shared" si="23"/>
        <v>24A</v>
      </c>
      <c r="B63" s="144" t="str">
        <f t="shared" si="26"/>
        <v>DFID</v>
      </c>
      <c r="C63" s="377" t="str">
        <f t="shared" si="26"/>
        <v>Miscellaneous (Small Capital) 14</v>
      </c>
      <c r="D63" s="413"/>
      <c r="E63" s="158">
        <f t="shared" si="25"/>
        <v>72260.2</v>
      </c>
      <c r="F63" s="209">
        <f t="shared" si="25"/>
        <v>302000</v>
      </c>
      <c r="G63" s="158">
        <f t="shared" si="25"/>
        <v>302000</v>
      </c>
      <c r="H63" s="136">
        <f t="shared" si="25"/>
        <v>0</v>
      </c>
      <c r="I63" s="158">
        <f t="shared" si="25"/>
        <v>0</v>
      </c>
      <c r="J63" s="135">
        <f t="shared" si="25"/>
        <v>0</v>
      </c>
    </row>
    <row r="64" spans="1:10" ht="13.5" customHeight="1" x14ac:dyDescent="0.2">
      <c r="A64" s="144" t="str">
        <f t="shared" si="23"/>
        <v>37A</v>
      </c>
      <c r="B64" s="144" t="str">
        <f t="shared" si="26"/>
        <v>DFID</v>
      </c>
      <c r="C64" s="377" t="str">
        <f t="shared" si="26"/>
        <v xml:space="preserve">Hospital Redevelopment </v>
      </c>
      <c r="D64" s="413"/>
      <c r="E64" s="158">
        <f t="shared" si="25"/>
        <v>2503190.7500000005</v>
      </c>
      <c r="F64" s="209">
        <f t="shared" si="25"/>
        <v>1000000</v>
      </c>
      <c r="G64" s="158">
        <f t="shared" si="25"/>
        <v>1817100</v>
      </c>
      <c r="H64" s="136">
        <f t="shared" si="25"/>
        <v>200000</v>
      </c>
      <c r="I64" s="158">
        <f t="shared" si="25"/>
        <v>0</v>
      </c>
      <c r="J64" s="135">
        <f t="shared" si="25"/>
        <v>0</v>
      </c>
    </row>
    <row r="65" spans="1:10" ht="13.5" customHeight="1" x14ac:dyDescent="0.2">
      <c r="A65" s="144" t="str">
        <f t="shared" si="23"/>
        <v>66A</v>
      </c>
      <c r="B65" s="144" t="str">
        <f t="shared" si="26"/>
        <v>EU</v>
      </c>
      <c r="C65" s="377" t="str">
        <f t="shared" si="26"/>
        <v xml:space="preserve">Port Development(Gunn Hill) </v>
      </c>
      <c r="D65" s="413"/>
      <c r="E65" s="158">
        <f t="shared" si="25"/>
        <v>200000</v>
      </c>
      <c r="F65" s="209">
        <f t="shared" si="25"/>
        <v>0</v>
      </c>
      <c r="G65" s="158">
        <f t="shared" si="25"/>
        <v>0</v>
      </c>
      <c r="H65" s="136">
        <f t="shared" si="25"/>
        <v>0</v>
      </c>
      <c r="I65" s="158">
        <f t="shared" si="25"/>
        <v>0</v>
      </c>
      <c r="J65" s="135">
        <f t="shared" si="25"/>
        <v>0</v>
      </c>
    </row>
    <row r="66" spans="1:10" ht="13.5" customHeight="1" x14ac:dyDescent="0.2">
      <c r="A66" s="144" t="str">
        <f t="shared" si="23"/>
        <v>68A</v>
      </c>
      <c r="B66" s="144" t="str">
        <f t="shared" si="26"/>
        <v>EU</v>
      </c>
      <c r="C66" s="377" t="str">
        <f t="shared" si="26"/>
        <v xml:space="preserve">Sports Centre </v>
      </c>
      <c r="D66" s="413"/>
      <c r="E66" s="158">
        <f t="shared" si="25"/>
        <v>3640000</v>
      </c>
      <c r="F66" s="209">
        <f t="shared" si="25"/>
        <v>0</v>
      </c>
      <c r="G66" s="158">
        <f t="shared" si="25"/>
        <v>0</v>
      </c>
      <c r="H66" s="136">
        <f t="shared" si="25"/>
        <v>0</v>
      </c>
      <c r="I66" s="158">
        <f t="shared" si="25"/>
        <v>0</v>
      </c>
      <c r="J66" s="135">
        <f t="shared" si="25"/>
        <v>0</v>
      </c>
    </row>
    <row r="67" spans="1:10" ht="13.5" customHeight="1" x14ac:dyDescent="0.2">
      <c r="A67" s="144" t="str">
        <f t="shared" si="23"/>
        <v>70A</v>
      </c>
      <c r="B67" s="144" t="str">
        <f t="shared" si="26"/>
        <v>EU</v>
      </c>
      <c r="C67" s="377" t="str">
        <f t="shared" si="26"/>
        <v>Miscellaneous 14</v>
      </c>
      <c r="D67" s="413"/>
      <c r="E67" s="158">
        <f t="shared" si="25"/>
        <v>590997.90999999992</v>
      </c>
      <c r="F67" s="209">
        <f t="shared" si="25"/>
        <v>1500000</v>
      </c>
      <c r="G67" s="158">
        <f t="shared" si="25"/>
        <v>1219600</v>
      </c>
      <c r="H67" s="136">
        <f t="shared" si="25"/>
        <v>500000</v>
      </c>
      <c r="I67" s="158">
        <f t="shared" si="25"/>
        <v>0</v>
      </c>
      <c r="J67" s="135">
        <f t="shared" si="25"/>
        <v>0</v>
      </c>
    </row>
    <row r="68" spans="1:10" ht="13.5" customHeight="1" x14ac:dyDescent="0.2">
      <c r="A68" s="144" t="str">
        <f t="shared" si="23"/>
        <v>71A</v>
      </c>
      <c r="B68" s="144" t="str">
        <f t="shared" si="26"/>
        <v>DFID</v>
      </c>
      <c r="C68" s="377" t="str">
        <f t="shared" si="26"/>
        <v>MUL GENSET</v>
      </c>
      <c r="D68" s="413"/>
      <c r="E68" s="158">
        <f t="shared" si="25"/>
        <v>5120878.0199999996</v>
      </c>
      <c r="F68" s="209">
        <f t="shared" si="25"/>
        <v>10000000</v>
      </c>
      <c r="G68" s="158">
        <f t="shared" si="25"/>
        <v>10000000</v>
      </c>
      <c r="H68" s="136">
        <f t="shared" si="25"/>
        <v>8296500</v>
      </c>
      <c r="I68" s="158">
        <f t="shared" si="25"/>
        <v>0</v>
      </c>
      <c r="J68" s="135">
        <f t="shared" si="25"/>
        <v>0</v>
      </c>
    </row>
    <row r="69" spans="1:10" ht="13.5" customHeight="1" x14ac:dyDescent="0.2">
      <c r="A69" s="144" t="str">
        <f t="shared" si="23"/>
        <v>72A</v>
      </c>
      <c r="B69" s="144" t="str">
        <f t="shared" si="26"/>
        <v>EU</v>
      </c>
      <c r="C69" s="377" t="str">
        <f t="shared" si="26"/>
        <v>LookOut Housing Force 10</v>
      </c>
      <c r="D69" s="413"/>
      <c r="E69" s="158">
        <f t="shared" si="25"/>
        <v>700000</v>
      </c>
      <c r="F69" s="209">
        <f t="shared" si="25"/>
        <v>0</v>
      </c>
      <c r="G69" s="158">
        <f t="shared" si="25"/>
        <v>1200000</v>
      </c>
      <c r="H69" s="136">
        <f t="shared" si="25"/>
        <v>393200</v>
      </c>
      <c r="I69" s="158">
        <f t="shared" si="25"/>
        <v>0</v>
      </c>
      <c r="J69" s="135">
        <f t="shared" si="25"/>
        <v>0</v>
      </c>
    </row>
    <row r="70" spans="1:10" ht="13.5" customHeight="1" x14ac:dyDescent="0.2">
      <c r="A70" s="144" t="str">
        <f t="shared" si="23"/>
        <v>73A</v>
      </c>
      <c r="B70" s="144" t="str">
        <f t="shared" si="26"/>
        <v>EU</v>
      </c>
      <c r="C70" s="377" t="str">
        <f t="shared" si="26"/>
        <v>Credit Union Support to Housing</v>
      </c>
      <c r="D70" s="413"/>
      <c r="E70" s="158">
        <f t="shared" si="25"/>
        <v>0</v>
      </c>
      <c r="F70" s="209">
        <f t="shared" si="25"/>
        <v>1500000</v>
      </c>
      <c r="G70" s="158">
        <f t="shared" si="25"/>
        <v>1000000</v>
      </c>
      <c r="H70" s="136">
        <f t="shared" si="25"/>
        <v>0</v>
      </c>
      <c r="I70" s="158">
        <f t="shared" si="25"/>
        <v>0</v>
      </c>
      <c r="J70" s="135">
        <f t="shared" si="25"/>
        <v>0</v>
      </c>
    </row>
    <row r="71" spans="1:10" ht="13.5" customHeight="1" x14ac:dyDescent="0.2">
      <c r="A71" s="144" t="str">
        <f t="shared" si="23"/>
        <v>74A</v>
      </c>
      <c r="B71" s="144" t="str">
        <f t="shared" si="26"/>
        <v>EU</v>
      </c>
      <c r="C71" s="377" t="str">
        <f t="shared" si="26"/>
        <v>Davy Hill</v>
      </c>
      <c r="D71" s="413"/>
      <c r="E71" s="158">
        <f t="shared" si="25"/>
        <v>305671</v>
      </c>
      <c r="F71" s="209">
        <f t="shared" si="25"/>
        <v>1300000</v>
      </c>
      <c r="G71" s="158">
        <f t="shared" si="25"/>
        <v>1300000</v>
      </c>
      <c r="H71" s="136">
        <f t="shared" si="25"/>
        <v>1300000</v>
      </c>
      <c r="I71" s="158">
        <f t="shared" si="25"/>
        <v>0</v>
      </c>
      <c r="J71" s="135">
        <f t="shared" si="25"/>
        <v>0</v>
      </c>
    </row>
    <row r="72" spans="1:10" ht="13.5" customHeight="1" x14ac:dyDescent="0.2">
      <c r="A72" s="144" t="str">
        <f t="shared" si="23"/>
        <v>78A</v>
      </c>
      <c r="B72" s="144" t="str">
        <f t="shared" si="26"/>
        <v>EU</v>
      </c>
      <c r="C72" s="377" t="str">
        <f t="shared" si="26"/>
        <v>Port Development</v>
      </c>
      <c r="D72" s="413"/>
      <c r="E72" s="158">
        <f t="shared" ref="E72:J76" si="27">E216</f>
        <v>0</v>
      </c>
      <c r="F72" s="209">
        <f t="shared" si="27"/>
        <v>1500000</v>
      </c>
      <c r="G72" s="158">
        <f t="shared" si="27"/>
        <v>1026100</v>
      </c>
      <c r="H72" s="136">
        <f t="shared" si="27"/>
        <v>1026100</v>
      </c>
      <c r="I72" s="158">
        <f t="shared" si="27"/>
        <v>0</v>
      </c>
      <c r="J72" s="135">
        <f t="shared" si="27"/>
        <v>0</v>
      </c>
    </row>
    <row r="73" spans="1:10" ht="13.5" customHeight="1" x14ac:dyDescent="0.2">
      <c r="A73" s="144" t="str">
        <f t="shared" si="23"/>
        <v>77A</v>
      </c>
      <c r="B73" s="144" t="str">
        <f t="shared" si="26"/>
        <v>EU</v>
      </c>
      <c r="C73" s="377" t="str">
        <f t="shared" si="26"/>
        <v>Economic Infrastructure Development</v>
      </c>
      <c r="D73" s="413"/>
      <c r="E73" s="158">
        <f t="shared" si="27"/>
        <v>0</v>
      </c>
      <c r="F73" s="209">
        <f t="shared" si="27"/>
        <v>2000000</v>
      </c>
      <c r="G73" s="158">
        <f t="shared" si="27"/>
        <v>2000000</v>
      </c>
      <c r="H73" s="136">
        <f t="shared" si="27"/>
        <v>2000000</v>
      </c>
      <c r="I73" s="158">
        <f t="shared" si="27"/>
        <v>349500</v>
      </c>
      <c r="J73" s="135">
        <f t="shared" si="27"/>
        <v>0</v>
      </c>
    </row>
    <row r="74" spans="1:10" ht="13.5" customHeight="1" x14ac:dyDescent="0.2">
      <c r="A74" s="144" t="str">
        <f t="shared" si="23"/>
        <v>76A</v>
      </c>
      <c r="B74" s="144" t="str">
        <f t="shared" si="26"/>
        <v>EU</v>
      </c>
      <c r="C74" s="377" t="str">
        <f t="shared" si="26"/>
        <v>Water Course Embankment Protection</v>
      </c>
      <c r="D74" s="413"/>
      <c r="E74" s="158">
        <f t="shared" si="27"/>
        <v>0</v>
      </c>
      <c r="F74" s="209">
        <f t="shared" si="27"/>
        <v>265000</v>
      </c>
      <c r="G74" s="158">
        <f t="shared" si="27"/>
        <v>265000</v>
      </c>
      <c r="H74" s="136">
        <f t="shared" si="27"/>
        <v>0</v>
      </c>
      <c r="I74" s="158">
        <f t="shared" si="27"/>
        <v>0</v>
      </c>
      <c r="J74" s="135">
        <f t="shared" si="27"/>
        <v>0</v>
      </c>
    </row>
    <row r="75" spans="1:10" ht="13.5" customHeight="1" x14ac:dyDescent="0.2">
      <c r="A75" s="144" t="str">
        <f t="shared" si="23"/>
        <v>75A</v>
      </c>
      <c r="B75" s="144" t="str">
        <f t="shared" ref="B75:C76" si="28">B219</f>
        <v>EU</v>
      </c>
      <c r="C75" s="377" t="str">
        <f t="shared" si="28"/>
        <v>Promotion and Development</v>
      </c>
      <c r="D75" s="413"/>
      <c r="E75" s="158">
        <f t="shared" si="27"/>
        <v>0</v>
      </c>
      <c r="F75" s="209">
        <f t="shared" si="27"/>
        <v>1000000</v>
      </c>
      <c r="G75" s="158">
        <f t="shared" si="27"/>
        <v>800000</v>
      </c>
      <c r="H75" s="136">
        <f t="shared" si="27"/>
        <v>0</v>
      </c>
      <c r="I75" s="158">
        <f t="shared" si="27"/>
        <v>0</v>
      </c>
      <c r="J75" s="135">
        <f t="shared" si="27"/>
        <v>0</v>
      </c>
    </row>
    <row r="76" spans="1:10" ht="13.5" customHeight="1" x14ac:dyDescent="0.2">
      <c r="A76" s="144" t="str">
        <f t="shared" si="23"/>
        <v>00A</v>
      </c>
      <c r="B76" s="144" t="str">
        <f t="shared" si="28"/>
        <v>DFID</v>
      </c>
      <c r="C76" s="377" t="str">
        <f t="shared" si="28"/>
        <v>M/Rat Priority Infrastructure Needs -RDEL</v>
      </c>
      <c r="D76" s="413"/>
      <c r="E76" s="158">
        <f t="shared" si="27"/>
        <v>0</v>
      </c>
      <c r="F76" s="209">
        <f t="shared" si="27"/>
        <v>0</v>
      </c>
      <c r="G76" s="158">
        <f t="shared" si="27"/>
        <v>0</v>
      </c>
      <c r="H76" s="136">
        <f t="shared" si="27"/>
        <v>120000</v>
      </c>
      <c r="I76" s="158">
        <f t="shared" si="27"/>
        <v>0</v>
      </c>
      <c r="J76" s="135">
        <f t="shared" si="27"/>
        <v>0</v>
      </c>
    </row>
    <row r="77" spans="1:10" x14ac:dyDescent="0.2">
      <c r="A77" s="139" t="s">
        <v>69</v>
      </c>
      <c r="B77" s="139"/>
      <c r="C77" s="139"/>
      <c r="D77" s="139"/>
      <c r="E77" s="140">
        <f t="shared" ref="E77:J77" si="29">SUM(E56:E76)</f>
        <v>21481762.489999998</v>
      </c>
      <c r="F77" s="140">
        <f t="shared" si="29"/>
        <v>25509200</v>
      </c>
      <c r="G77" s="140">
        <f t="shared" si="29"/>
        <v>26205500</v>
      </c>
      <c r="H77" s="140">
        <f t="shared" si="29"/>
        <v>15034800</v>
      </c>
      <c r="I77" s="140">
        <f t="shared" si="29"/>
        <v>849500</v>
      </c>
      <c r="J77" s="140">
        <f t="shared" si="29"/>
        <v>0</v>
      </c>
    </row>
    <row r="78" spans="1:10" ht="8.25" customHeight="1" x14ac:dyDescent="0.2">
      <c r="A78" s="129"/>
      <c r="B78" s="129"/>
      <c r="C78" s="129"/>
      <c r="D78" s="129"/>
      <c r="E78" s="129"/>
      <c r="F78" s="129"/>
      <c r="G78" s="129"/>
      <c r="H78" s="129"/>
      <c r="I78" s="129"/>
      <c r="J78" s="129"/>
    </row>
    <row r="79" spans="1:10" x14ac:dyDescent="0.2">
      <c r="A79" s="137" t="s">
        <v>1028</v>
      </c>
      <c r="B79" s="137"/>
      <c r="C79" s="137"/>
      <c r="D79" s="137"/>
      <c r="E79" s="147">
        <f t="shared" ref="E79:J79" si="30">SUM(E52,E77)</f>
        <v>38389860.329999998</v>
      </c>
      <c r="F79" s="147">
        <f t="shared" si="30"/>
        <v>39727500</v>
      </c>
      <c r="G79" s="147">
        <f t="shared" si="30"/>
        <v>37883700</v>
      </c>
      <c r="H79" s="147">
        <f t="shared" si="30"/>
        <v>27696600</v>
      </c>
      <c r="I79" s="147">
        <f t="shared" si="30"/>
        <v>13679400</v>
      </c>
      <c r="J79" s="147">
        <f t="shared" si="30"/>
        <v>12910400</v>
      </c>
    </row>
    <row r="80" spans="1:10" ht="10.5" customHeight="1" x14ac:dyDescent="0.2">
      <c r="A80" s="129"/>
      <c r="B80" s="129"/>
      <c r="C80" s="129"/>
      <c r="D80" s="129"/>
      <c r="E80" s="129"/>
      <c r="F80" s="129"/>
      <c r="G80" s="129"/>
      <c r="H80" s="129"/>
      <c r="I80" s="129"/>
      <c r="J80" s="129"/>
    </row>
    <row r="81" spans="1:10" x14ac:dyDescent="0.2">
      <c r="A81" s="128" t="s">
        <v>288</v>
      </c>
      <c r="B81" s="128"/>
      <c r="C81" s="128"/>
      <c r="D81" s="128"/>
      <c r="E81" s="128"/>
      <c r="F81" s="128"/>
      <c r="G81" s="128"/>
      <c r="H81" s="128"/>
      <c r="I81" s="128"/>
      <c r="J81" s="128"/>
    </row>
    <row r="82" spans="1:10" ht="15" customHeight="1" x14ac:dyDescent="0.2">
      <c r="A82" s="137" t="s">
        <v>289</v>
      </c>
      <c r="B82" s="137"/>
      <c r="C82" s="137"/>
      <c r="D82" s="137"/>
      <c r="E82" s="149"/>
      <c r="F82" s="149"/>
      <c r="G82" s="149"/>
      <c r="H82" s="148"/>
      <c r="I82" s="149"/>
      <c r="J82" s="149"/>
    </row>
    <row r="83" spans="1:10" ht="15" customHeight="1" x14ac:dyDescent="0.2">
      <c r="A83" s="129"/>
      <c r="B83" s="129"/>
      <c r="C83" s="129"/>
      <c r="D83" s="129"/>
      <c r="E83" s="129"/>
      <c r="F83" s="129"/>
      <c r="G83" s="129"/>
      <c r="H83" s="129"/>
      <c r="I83" s="129"/>
      <c r="J83" s="129"/>
    </row>
    <row r="84" spans="1:10" x14ac:dyDescent="0.2">
      <c r="A84" s="150" t="s">
        <v>1029</v>
      </c>
      <c r="B84" s="150"/>
      <c r="C84" s="150"/>
      <c r="D84" s="150"/>
      <c r="E84" s="150"/>
      <c r="F84" s="150"/>
      <c r="G84" s="150"/>
      <c r="H84" s="150"/>
      <c r="I84" s="150"/>
      <c r="J84" s="150"/>
    </row>
    <row r="85" spans="1:10" ht="15" customHeight="1" x14ac:dyDescent="0.2">
      <c r="A85" s="151" t="s">
        <v>291</v>
      </c>
      <c r="B85" s="151"/>
      <c r="C85" s="151"/>
      <c r="D85" s="101"/>
      <c r="E85" s="101"/>
      <c r="F85" s="101"/>
      <c r="G85" s="101"/>
      <c r="H85" s="101"/>
      <c r="I85" s="101"/>
      <c r="J85" s="101"/>
    </row>
    <row r="86" spans="1:10" ht="24" customHeight="1" x14ac:dyDescent="0.2">
      <c r="A86" s="317" t="s">
        <v>1030</v>
      </c>
      <c r="B86" s="317"/>
      <c r="C86" s="317"/>
      <c r="D86" s="317"/>
      <c r="E86" s="317"/>
      <c r="F86" s="317"/>
      <c r="G86" s="317"/>
      <c r="H86" s="317"/>
      <c r="I86" s="317"/>
      <c r="J86" s="317"/>
    </row>
    <row r="87" spans="1:10" x14ac:dyDescent="0.2">
      <c r="A87" s="317"/>
      <c r="B87" s="317"/>
      <c r="C87" s="317"/>
      <c r="D87" s="317"/>
      <c r="E87" s="317"/>
      <c r="F87" s="317"/>
      <c r="G87" s="317"/>
      <c r="H87" s="317"/>
      <c r="I87" s="317"/>
      <c r="J87" s="317"/>
    </row>
    <row r="88" spans="1:10" x14ac:dyDescent="0.2">
      <c r="A88" s="128" t="s">
        <v>293</v>
      </c>
      <c r="B88" s="128"/>
      <c r="C88" s="128"/>
      <c r="D88" s="128"/>
      <c r="E88" s="128"/>
      <c r="F88" s="128"/>
      <c r="G88" s="128"/>
      <c r="H88" s="128"/>
      <c r="I88" s="128"/>
      <c r="J88" s="128"/>
    </row>
    <row r="89" spans="1:10" ht="33.75" x14ac:dyDescent="0.2">
      <c r="A89" s="152" t="s">
        <v>243</v>
      </c>
      <c r="B89" s="151" t="s">
        <v>242</v>
      </c>
      <c r="C89" s="151"/>
      <c r="D89" s="151"/>
      <c r="E89" s="132" t="str">
        <f t="shared" ref="E89:J89" si="31">E24</f>
        <v>Actuals           2014-2015</v>
      </c>
      <c r="F89" s="132" t="str">
        <f t="shared" si="31"/>
        <v>Approved Estimates          2015-2016</v>
      </c>
      <c r="G89" s="132" t="str">
        <f t="shared" si="31"/>
        <v>Revised Estimates                 2015-2016</v>
      </c>
      <c r="H89" s="132" t="str">
        <f t="shared" si="31"/>
        <v>Budget Estimates      2016-2017</v>
      </c>
      <c r="I89" s="132" t="str">
        <f t="shared" si="31"/>
        <v>Forward Estimates     2017-2018</v>
      </c>
      <c r="J89" s="132" t="str">
        <f t="shared" si="31"/>
        <v>Forward Estimates     2018-2019</v>
      </c>
    </row>
    <row r="90" spans="1:10" x14ac:dyDescent="0.2">
      <c r="A90" s="133">
        <v>160</v>
      </c>
      <c r="B90" s="134" t="s">
        <v>1031</v>
      </c>
      <c r="C90" s="134"/>
      <c r="D90" s="134"/>
      <c r="E90" s="135">
        <v>23300</v>
      </c>
      <c r="F90" s="262">
        <v>0</v>
      </c>
      <c r="G90" s="135">
        <v>45600</v>
      </c>
      <c r="H90" s="136">
        <v>0</v>
      </c>
      <c r="I90" s="158">
        <v>0</v>
      </c>
      <c r="J90" s="158">
        <v>0</v>
      </c>
    </row>
    <row r="91" spans="1:10" x14ac:dyDescent="0.2">
      <c r="A91" s="137" t="s">
        <v>1027</v>
      </c>
      <c r="B91" s="137"/>
      <c r="C91" s="137"/>
      <c r="D91" s="137"/>
      <c r="E91" s="138">
        <f t="shared" ref="E91:J91" si="32">SUM(E90:E90)</f>
        <v>23300</v>
      </c>
      <c r="F91" s="138">
        <f t="shared" si="32"/>
        <v>0</v>
      </c>
      <c r="G91" s="138">
        <f t="shared" si="32"/>
        <v>45600</v>
      </c>
      <c r="H91" s="138">
        <f t="shared" si="32"/>
        <v>0</v>
      </c>
      <c r="I91" s="138">
        <f t="shared" si="32"/>
        <v>0</v>
      </c>
      <c r="J91" s="138">
        <f t="shared" si="32"/>
        <v>0</v>
      </c>
    </row>
    <row r="92" spans="1:10" x14ac:dyDescent="0.2">
      <c r="A92" s="129"/>
      <c r="B92" s="129"/>
      <c r="C92" s="129"/>
      <c r="D92" s="129"/>
      <c r="E92" s="129"/>
      <c r="F92" s="129"/>
      <c r="G92" s="129"/>
      <c r="H92" s="129"/>
      <c r="I92" s="129"/>
      <c r="J92" s="129"/>
    </row>
    <row r="93" spans="1:10" x14ac:dyDescent="0.2">
      <c r="A93" s="128" t="s">
        <v>284</v>
      </c>
      <c r="B93" s="128"/>
      <c r="C93" s="128"/>
      <c r="D93" s="128"/>
      <c r="E93" s="128"/>
      <c r="F93" s="128"/>
      <c r="G93" s="128"/>
      <c r="H93" s="128"/>
      <c r="I93" s="128"/>
      <c r="J93" s="128"/>
    </row>
    <row r="94" spans="1:10" ht="33.75" x14ac:dyDescent="0.2">
      <c r="A94" s="152" t="s">
        <v>243</v>
      </c>
      <c r="B94" s="151" t="s">
        <v>242</v>
      </c>
      <c r="C94" s="151"/>
      <c r="D94" s="151"/>
      <c r="E94" s="132" t="str">
        <f t="shared" ref="E94:J94" si="33">E24</f>
        <v>Actuals           2014-2015</v>
      </c>
      <c r="F94" s="132" t="str">
        <f t="shared" si="33"/>
        <v>Approved Estimates          2015-2016</v>
      </c>
      <c r="G94" s="132" t="str">
        <f t="shared" si="33"/>
        <v>Revised Estimates                 2015-2016</v>
      </c>
      <c r="H94" s="132" t="str">
        <f t="shared" si="33"/>
        <v>Budget Estimates      2016-2017</v>
      </c>
      <c r="I94" s="132" t="str">
        <f t="shared" si="33"/>
        <v>Forward Estimates     2017-2018</v>
      </c>
      <c r="J94" s="132" t="str">
        <f t="shared" si="33"/>
        <v>Forward Estimates     2018-2019</v>
      </c>
    </row>
    <row r="95" spans="1:10" x14ac:dyDescent="0.2">
      <c r="A95" s="151" t="s">
        <v>7</v>
      </c>
      <c r="B95" s="151"/>
      <c r="C95" s="151"/>
      <c r="D95" s="151"/>
      <c r="E95" s="151"/>
      <c r="F95" s="151"/>
      <c r="G95" s="151"/>
      <c r="H95" s="151"/>
      <c r="I95" s="151"/>
      <c r="J95" s="190"/>
    </row>
    <row r="96" spans="1:10" x14ac:dyDescent="0.2">
      <c r="A96" s="207">
        <v>210</v>
      </c>
      <c r="B96" s="129" t="s">
        <v>7</v>
      </c>
      <c r="C96" s="101"/>
      <c r="D96" s="101"/>
      <c r="E96" s="211">
        <v>419874.15</v>
      </c>
      <c r="F96" s="211">
        <v>461700</v>
      </c>
      <c r="G96" s="211">
        <v>317700</v>
      </c>
      <c r="H96" s="210">
        <v>460500</v>
      </c>
      <c r="I96" s="211">
        <v>463000</v>
      </c>
      <c r="J96" s="211">
        <v>465600</v>
      </c>
    </row>
    <row r="97" spans="1:10" x14ac:dyDescent="0.2">
      <c r="A97" s="207">
        <v>212</v>
      </c>
      <c r="B97" s="129" t="s">
        <v>9</v>
      </c>
      <c r="C97" s="101"/>
      <c r="D97" s="101"/>
      <c r="E97" s="211">
        <v>0</v>
      </c>
      <c r="F97" s="211">
        <v>0</v>
      </c>
      <c r="G97" s="211">
        <v>0</v>
      </c>
      <c r="H97" s="210">
        <v>0</v>
      </c>
      <c r="I97" s="211">
        <v>0</v>
      </c>
      <c r="J97" s="211">
        <v>0</v>
      </c>
    </row>
    <row r="98" spans="1:10" x14ac:dyDescent="0.2">
      <c r="A98" s="207">
        <v>216</v>
      </c>
      <c r="B98" s="129" t="s">
        <v>10</v>
      </c>
      <c r="C98" s="101"/>
      <c r="D98" s="101"/>
      <c r="E98" s="211">
        <v>156198.35999999999</v>
      </c>
      <c r="F98" s="211">
        <v>165400</v>
      </c>
      <c r="G98" s="211">
        <v>160100</v>
      </c>
      <c r="H98" s="210">
        <v>165400</v>
      </c>
      <c r="I98" s="211">
        <v>165400</v>
      </c>
      <c r="J98" s="211">
        <v>165400</v>
      </c>
    </row>
    <row r="99" spans="1:10" x14ac:dyDescent="0.2">
      <c r="A99" s="207">
        <v>218</v>
      </c>
      <c r="B99" s="129" t="s">
        <v>294</v>
      </c>
      <c r="C99" s="101"/>
      <c r="D99" s="101"/>
      <c r="E99" s="211">
        <v>0</v>
      </c>
      <c r="F99" s="211">
        <v>59500</v>
      </c>
      <c r="G99" s="211">
        <v>59500</v>
      </c>
      <c r="H99" s="210">
        <v>0</v>
      </c>
      <c r="I99" s="211">
        <v>0</v>
      </c>
      <c r="J99" s="211">
        <v>0</v>
      </c>
    </row>
    <row r="100" spans="1:10" ht="15" customHeight="1" x14ac:dyDescent="0.2">
      <c r="A100" s="156" t="s">
        <v>295</v>
      </c>
      <c r="B100" s="156"/>
      <c r="C100" s="156"/>
      <c r="D100" s="156"/>
      <c r="E100" s="157">
        <f t="shared" ref="E100:J100" si="34">SUM(E96:E99)</f>
        <v>576072.51</v>
      </c>
      <c r="F100" s="157">
        <f t="shared" si="34"/>
        <v>686600</v>
      </c>
      <c r="G100" s="157">
        <f t="shared" si="34"/>
        <v>537300</v>
      </c>
      <c r="H100" s="157">
        <f t="shared" si="34"/>
        <v>625900</v>
      </c>
      <c r="I100" s="157">
        <f t="shared" si="34"/>
        <v>628400</v>
      </c>
      <c r="J100" s="157">
        <f t="shared" si="34"/>
        <v>631000</v>
      </c>
    </row>
    <row r="101" spans="1:10" ht="15" customHeight="1" x14ac:dyDescent="0.2">
      <c r="A101" s="156" t="s">
        <v>296</v>
      </c>
      <c r="B101" s="156"/>
      <c r="C101" s="156"/>
      <c r="D101" s="156"/>
      <c r="E101" s="156"/>
      <c r="F101" s="156"/>
      <c r="G101" s="156"/>
      <c r="H101" s="156"/>
      <c r="I101" s="156"/>
      <c r="J101" s="190"/>
    </row>
    <row r="102" spans="1:10" x14ac:dyDescent="0.2">
      <c r="A102" s="207">
        <v>222</v>
      </c>
      <c r="B102" s="129" t="s">
        <v>205</v>
      </c>
      <c r="C102" s="101"/>
      <c r="D102" s="101"/>
      <c r="E102" s="211">
        <v>290683.77</v>
      </c>
      <c r="F102" s="211">
        <v>225000</v>
      </c>
      <c r="G102" s="211">
        <v>245700</v>
      </c>
      <c r="H102" s="210">
        <f>225000-5000</f>
        <v>220000</v>
      </c>
      <c r="I102" s="211">
        <f t="shared" ref="I102:J102" si="35">225000-5000</f>
        <v>220000</v>
      </c>
      <c r="J102" s="211">
        <f t="shared" si="35"/>
        <v>220000</v>
      </c>
    </row>
    <row r="103" spans="1:10" x14ac:dyDescent="0.2">
      <c r="A103" s="207">
        <v>226</v>
      </c>
      <c r="B103" s="129" t="s">
        <v>207</v>
      </c>
      <c r="C103" s="101"/>
      <c r="D103" s="101"/>
      <c r="E103" s="211">
        <v>11892.3</v>
      </c>
      <c r="F103" s="211">
        <v>15000</v>
      </c>
      <c r="G103" s="211">
        <v>11900</v>
      </c>
      <c r="H103" s="210">
        <v>18500</v>
      </c>
      <c r="I103" s="211">
        <v>18500</v>
      </c>
      <c r="J103" s="211">
        <v>18500</v>
      </c>
    </row>
    <row r="104" spans="1:10" x14ac:dyDescent="0.2">
      <c r="A104" s="207">
        <v>228</v>
      </c>
      <c r="B104" s="129" t="s">
        <v>208</v>
      </c>
      <c r="C104" s="101"/>
      <c r="D104" s="101"/>
      <c r="E104" s="211">
        <v>14871.93</v>
      </c>
      <c r="F104" s="211">
        <v>15000</v>
      </c>
      <c r="G104" s="211">
        <v>15000</v>
      </c>
      <c r="H104" s="210">
        <v>15000</v>
      </c>
      <c r="I104" s="211">
        <v>15000</v>
      </c>
      <c r="J104" s="211">
        <v>15000</v>
      </c>
    </row>
    <row r="105" spans="1:10" x14ac:dyDescent="0.2">
      <c r="A105" s="207">
        <v>229</v>
      </c>
      <c r="B105" s="129" t="s">
        <v>209</v>
      </c>
      <c r="C105" s="101"/>
      <c r="D105" s="101"/>
      <c r="E105" s="211">
        <v>128967.47</v>
      </c>
      <c r="F105" s="211">
        <v>90000</v>
      </c>
      <c r="G105" s="211">
        <v>86300</v>
      </c>
      <c r="H105" s="210">
        <f>82900-2900+(356500-45100)</f>
        <v>391400</v>
      </c>
      <c r="I105" s="211">
        <f t="shared" ref="I105:J105" si="36">82900-2900</f>
        <v>80000</v>
      </c>
      <c r="J105" s="211">
        <f t="shared" si="36"/>
        <v>80000</v>
      </c>
    </row>
    <row r="106" spans="1:10" x14ac:dyDescent="0.2">
      <c r="A106" s="207">
        <v>232</v>
      </c>
      <c r="B106" s="129" t="s">
        <v>211</v>
      </c>
      <c r="C106" s="101"/>
      <c r="D106" s="101"/>
      <c r="E106" s="211">
        <v>9537.99</v>
      </c>
      <c r="F106" s="211">
        <v>12000</v>
      </c>
      <c r="G106" s="211">
        <v>10400</v>
      </c>
      <c r="H106" s="210">
        <v>12000</v>
      </c>
      <c r="I106" s="211">
        <v>12000</v>
      </c>
      <c r="J106" s="211">
        <v>12000</v>
      </c>
    </row>
    <row r="107" spans="1:10" x14ac:dyDescent="0.2">
      <c r="A107" s="207">
        <v>234</v>
      </c>
      <c r="B107" s="129" t="s">
        <v>212</v>
      </c>
      <c r="C107" s="101"/>
      <c r="D107" s="101"/>
      <c r="E107" s="211">
        <v>17150</v>
      </c>
      <c r="F107" s="211">
        <v>0</v>
      </c>
      <c r="G107" s="211">
        <v>0</v>
      </c>
      <c r="H107" s="210">
        <v>0</v>
      </c>
      <c r="I107" s="211">
        <v>0</v>
      </c>
      <c r="J107" s="211">
        <v>0</v>
      </c>
    </row>
    <row r="108" spans="1:10" x14ac:dyDescent="0.2">
      <c r="A108" s="207">
        <v>236</v>
      </c>
      <c r="B108" s="129" t="s">
        <v>213</v>
      </c>
      <c r="C108" s="101"/>
      <c r="D108" s="101"/>
      <c r="E108" s="211">
        <v>290010.5</v>
      </c>
      <c r="F108" s="211">
        <v>262000</v>
      </c>
      <c r="G108" s="211">
        <v>221900</v>
      </c>
      <c r="H108" s="210">
        <v>262000</v>
      </c>
      <c r="I108" s="211">
        <v>262000</v>
      </c>
      <c r="J108" s="211">
        <v>262000</v>
      </c>
    </row>
    <row r="109" spans="1:10" x14ac:dyDescent="0.2">
      <c r="A109" s="207">
        <v>240</v>
      </c>
      <c r="B109" s="129" t="s">
        <v>215</v>
      </c>
      <c r="C109" s="101"/>
      <c r="D109" s="101"/>
      <c r="E109" s="211">
        <v>9924.75</v>
      </c>
      <c r="F109" s="211">
        <v>10000</v>
      </c>
      <c r="G109" s="211">
        <v>10000</v>
      </c>
      <c r="H109" s="210">
        <v>10000</v>
      </c>
      <c r="I109" s="211">
        <v>10000</v>
      </c>
      <c r="J109" s="211">
        <v>10000</v>
      </c>
    </row>
    <row r="110" spans="1:10" x14ac:dyDescent="0.2">
      <c r="A110" s="207">
        <v>246</v>
      </c>
      <c r="B110" s="129" t="s">
        <v>218</v>
      </c>
      <c r="C110" s="101"/>
      <c r="D110" s="101"/>
      <c r="E110" s="211">
        <v>4900</v>
      </c>
      <c r="F110" s="211">
        <v>3500</v>
      </c>
      <c r="G110" s="211">
        <v>1700</v>
      </c>
      <c r="H110" s="210">
        <v>0</v>
      </c>
      <c r="I110" s="211">
        <v>0</v>
      </c>
      <c r="J110" s="211">
        <v>0</v>
      </c>
    </row>
    <row r="111" spans="1:10" x14ac:dyDescent="0.2">
      <c r="A111" s="207">
        <v>261</v>
      </c>
      <c r="B111" s="129" t="s">
        <v>221</v>
      </c>
      <c r="C111" s="101"/>
      <c r="D111" s="101"/>
      <c r="E111" s="211">
        <v>551402.66</v>
      </c>
      <c r="F111" s="211">
        <v>567000</v>
      </c>
      <c r="G111" s="211">
        <v>565700</v>
      </c>
      <c r="H111" s="210">
        <f>517000+126000+103900</f>
        <v>746900</v>
      </c>
      <c r="I111" s="211">
        <f>517000+103900</f>
        <v>620900</v>
      </c>
      <c r="J111" s="211">
        <f>517000+103900</f>
        <v>620900</v>
      </c>
    </row>
    <row r="112" spans="1:10" x14ac:dyDescent="0.2">
      <c r="A112" s="207">
        <v>272</v>
      </c>
      <c r="B112" s="129" t="s">
        <v>225</v>
      </c>
      <c r="C112" s="101"/>
      <c r="D112" s="101"/>
      <c r="E112" s="211">
        <v>5505742.8799999999</v>
      </c>
      <c r="F112" s="211">
        <v>125000</v>
      </c>
      <c r="G112" s="211">
        <v>118800</v>
      </c>
      <c r="H112" s="210">
        <f>125000+200000+75000-126000-103900+25900+154000-100000</f>
        <v>250000</v>
      </c>
      <c r="I112" s="211">
        <f>125000+200000+75000-103900+27000+26900</f>
        <v>350000</v>
      </c>
      <c r="J112" s="211">
        <f>125000+200000+75000-103900+15500+38400</f>
        <v>350000</v>
      </c>
    </row>
    <row r="113" spans="1:10" x14ac:dyDescent="0.2">
      <c r="A113" s="207">
        <v>275</v>
      </c>
      <c r="B113" s="129" t="s">
        <v>228</v>
      </c>
      <c r="C113" s="101"/>
      <c r="D113" s="101"/>
      <c r="E113" s="211">
        <v>1934.4</v>
      </c>
      <c r="F113" s="211">
        <v>2000</v>
      </c>
      <c r="G113" s="211">
        <v>200</v>
      </c>
      <c r="H113" s="210">
        <v>2000</v>
      </c>
      <c r="I113" s="211">
        <v>2000</v>
      </c>
      <c r="J113" s="211">
        <v>2000</v>
      </c>
    </row>
    <row r="114" spans="1:10" x14ac:dyDescent="0.2">
      <c r="A114" s="207">
        <v>281</v>
      </c>
      <c r="B114" s="129" t="s">
        <v>234</v>
      </c>
      <c r="C114" s="101"/>
      <c r="D114" s="101"/>
      <c r="E114" s="211">
        <v>8141.9</v>
      </c>
      <c r="F114" s="211">
        <v>15000</v>
      </c>
      <c r="G114" s="211">
        <v>15000</v>
      </c>
      <c r="H114" s="210">
        <v>15000</v>
      </c>
      <c r="I114" s="211">
        <v>15000</v>
      </c>
      <c r="J114" s="211">
        <v>15000</v>
      </c>
    </row>
    <row r="115" spans="1:10" ht="15" customHeight="1" x14ac:dyDescent="0.2">
      <c r="A115" s="156" t="s">
        <v>298</v>
      </c>
      <c r="B115" s="156"/>
      <c r="C115" s="156"/>
      <c r="D115" s="156"/>
      <c r="E115" s="157">
        <f t="shared" ref="E115:J115" si="37">SUM(E102:E114)</f>
        <v>6845160.5500000007</v>
      </c>
      <c r="F115" s="264">
        <f t="shared" si="37"/>
        <v>1341500</v>
      </c>
      <c r="G115" s="157">
        <f t="shared" si="37"/>
        <v>1302600</v>
      </c>
      <c r="H115" s="157">
        <f t="shared" si="37"/>
        <v>1942800</v>
      </c>
      <c r="I115" s="157">
        <f t="shared" si="37"/>
        <v>1605400</v>
      </c>
      <c r="J115" s="157">
        <f t="shared" si="37"/>
        <v>1605400</v>
      </c>
    </row>
    <row r="116" spans="1:10" ht="15" customHeight="1" x14ac:dyDescent="0.2">
      <c r="A116" s="159" t="s">
        <v>299</v>
      </c>
      <c r="B116" s="159"/>
      <c r="C116" s="159"/>
      <c r="D116" s="159"/>
      <c r="E116" s="160">
        <f t="shared" ref="E116:J116" si="38">SUM(E100,E115)</f>
        <v>7421233.0600000005</v>
      </c>
      <c r="F116" s="160">
        <f t="shared" si="38"/>
        <v>2028100</v>
      </c>
      <c r="G116" s="160">
        <f t="shared" si="38"/>
        <v>1839900</v>
      </c>
      <c r="H116" s="160">
        <f t="shared" si="38"/>
        <v>2568700</v>
      </c>
      <c r="I116" s="160">
        <f t="shared" si="38"/>
        <v>2233800</v>
      </c>
      <c r="J116" s="160">
        <f t="shared" si="38"/>
        <v>2236400</v>
      </c>
    </row>
    <row r="117" spans="1:10" x14ac:dyDescent="0.2">
      <c r="A117" s="129"/>
      <c r="B117" s="129"/>
      <c r="C117" s="129"/>
      <c r="D117" s="129"/>
      <c r="E117" s="129"/>
      <c r="F117" s="129"/>
      <c r="G117" s="129"/>
      <c r="H117" s="129"/>
      <c r="I117" s="129"/>
      <c r="J117" s="190"/>
    </row>
    <row r="118" spans="1:10" ht="18" customHeight="1" x14ac:dyDescent="0.2">
      <c r="A118" s="162" t="s">
        <v>15</v>
      </c>
      <c r="B118" s="162"/>
      <c r="C118" s="162"/>
      <c r="D118" s="162"/>
      <c r="E118" s="162"/>
      <c r="F118" s="162"/>
      <c r="G118" s="162"/>
      <c r="H118" s="162"/>
      <c r="I118" s="162"/>
      <c r="J118" s="162"/>
    </row>
    <row r="119" spans="1:10" ht="18" customHeight="1" x14ac:dyDescent="0.2">
      <c r="A119" s="131" t="s">
        <v>242</v>
      </c>
      <c r="B119" s="131"/>
      <c r="C119" s="131"/>
      <c r="D119" s="131"/>
      <c r="E119" s="128" t="str">
        <f t="shared" ref="E119:J119" si="39">E24</f>
        <v>Actuals           2014-2015</v>
      </c>
      <c r="F119" s="128" t="str">
        <f t="shared" si="39"/>
        <v>Approved Estimates          2015-2016</v>
      </c>
      <c r="G119" s="128" t="str">
        <f t="shared" si="39"/>
        <v>Revised Estimates                 2015-2016</v>
      </c>
      <c r="H119" s="128" t="str">
        <f t="shared" si="39"/>
        <v>Budget Estimates      2016-2017</v>
      </c>
      <c r="I119" s="128" t="str">
        <f t="shared" si="39"/>
        <v>Forward Estimates     2017-2018</v>
      </c>
      <c r="J119" s="128" t="str">
        <f t="shared" si="39"/>
        <v>Forward Estimates     2018-2019</v>
      </c>
    </row>
    <row r="120" spans="1:10" x14ac:dyDescent="0.2">
      <c r="A120" s="130" t="s">
        <v>243</v>
      </c>
      <c r="B120" s="130" t="s">
        <v>244</v>
      </c>
      <c r="C120" s="131" t="s">
        <v>245</v>
      </c>
      <c r="D120" s="131"/>
      <c r="E120" s="101"/>
      <c r="F120" s="101"/>
      <c r="G120" s="101"/>
      <c r="H120" s="101"/>
      <c r="I120" s="101"/>
      <c r="J120" s="101"/>
    </row>
    <row r="121" spans="1:10" x14ac:dyDescent="0.2">
      <c r="A121" s="163"/>
      <c r="B121" s="163"/>
      <c r="C121" s="156"/>
      <c r="D121" s="156"/>
      <c r="E121" s="158"/>
      <c r="F121" s="209"/>
      <c r="G121" s="158"/>
      <c r="H121" s="136"/>
      <c r="I121" s="158"/>
      <c r="J121" s="135"/>
    </row>
    <row r="122" spans="1:10" ht="15" customHeight="1" x14ac:dyDescent="0.2">
      <c r="A122" s="137" t="s">
        <v>15</v>
      </c>
      <c r="B122" s="137"/>
      <c r="C122" s="137"/>
      <c r="D122" s="137"/>
      <c r="E122" s="164">
        <v>0</v>
      </c>
      <c r="F122" s="164">
        <v>0</v>
      </c>
      <c r="G122" s="164">
        <v>0</v>
      </c>
      <c r="H122" s="164">
        <v>0</v>
      </c>
      <c r="I122" s="164">
        <v>0</v>
      </c>
      <c r="J122" s="164">
        <v>0</v>
      </c>
    </row>
    <row r="123" spans="1:10" ht="15" customHeight="1" x14ac:dyDescent="0.2">
      <c r="A123" s="290"/>
      <c r="B123" s="290"/>
      <c r="C123" s="290"/>
      <c r="D123" s="290"/>
      <c r="E123" s="290"/>
      <c r="F123" s="290"/>
      <c r="G123" s="290"/>
      <c r="H123" s="290"/>
      <c r="I123" s="290"/>
      <c r="J123" s="290"/>
    </row>
    <row r="124" spans="1:10" x14ac:dyDescent="0.2">
      <c r="A124" s="161" t="s">
        <v>288</v>
      </c>
      <c r="B124" s="161"/>
      <c r="C124" s="161"/>
      <c r="D124" s="161"/>
      <c r="E124" s="161"/>
      <c r="F124" s="202"/>
      <c r="G124" s="202"/>
      <c r="H124" s="202"/>
      <c r="I124" s="202"/>
      <c r="J124" s="202"/>
    </row>
    <row r="125" spans="1:10" x14ac:dyDescent="0.2">
      <c r="A125" s="131" t="s">
        <v>300</v>
      </c>
      <c r="B125" s="131"/>
      <c r="C125" s="131"/>
      <c r="D125" s="132" t="s">
        <v>301</v>
      </c>
      <c r="E125" s="132" t="s">
        <v>302</v>
      </c>
      <c r="F125" s="131" t="s">
        <v>300</v>
      </c>
      <c r="G125" s="131"/>
      <c r="H125" s="131"/>
      <c r="I125" s="132" t="s">
        <v>301</v>
      </c>
      <c r="J125" s="132" t="s">
        <v>302</v>
      </c>
    </row>
    <row r="126" spans="1:10" x14ac:dyDescent="0.2">
      <c r="A126" s="134" t="str">
        <f>Establishment!D220</f>
        <v>Financial Secretary</v>
      </c>
      <c r="B126" s="134"/>
      <c r="C126" s="134"/>
      <c r="D126" s="133" t="str">
        <f>Establishment!E220</f>
        <v>R1</v>
      </c>
      <c r="E126" s="133">
        <f>Establishment!C220</f>
        <v>1</v>
      </c>
      <c r="F126" s="134" t="str">
        <f>Establishment!D225</f>
        <v>Procurement Officer I</v>
      </c>
      <c r="G126" s="134"/>
      <c r="H126" s="134"/>
      <c r="I126" s="133" t="str">
        <f>Establishment!E225</f>
        <v>R28-22</v>
      </c>
      <c r="J126" s="133">
        <f>Establishment!C225</f>
        <v>1</v>
      </c>
    </row>
    <row r="127" spans="1:10" ht="14.25" customHeight="1" x14ac:dyDescent="0.2">
      <c r="A127" s="134" t="str">
        <f>Establishment!D221</f>
        <v>Deputy Financial Secretary</v>
      </c>
      <c r="B127" s="134"/>
      <c r="C127" s="134"/>
      <c r="D127" s="133" t="str">
        <f>Establishment!E221</f>
        <v>R5</v>
      </c>
      <c r="E127" s="133">
        <f>Establishment!C221</f>
        <v>1</v>
      </c>
      <c r="F127" s="134" t="str">
        <f>Establishment!D226</f>
        <v>Executive Officer</v>
      </c>
      <c r="G127" s="134"/>
      <c r="H127" s="134"/>
      <c r="I127" s="133" t="str">
        <f>Establishment!E226</f>
        <v>R28-22</v>
      </c>
      <c r="J127" s="133">
        <f>Establishment!C226</f>
        <v>1</v>
      </c>
    </row>
    <row r="128" spans="1:10" ht="14.25" customHeight="1" x14ac:dyDescent="0.2">
      <c r="A128" s="134" t="str">
        <f>Establishment!D222</f>
        <v>Head of Procurement &amp; Commercial Development (TC)</v>
      </c>
      <c r="B128" s="134"/>
      <c r="C128" s="134"/>
      <c r="D128" s="133" t="str">
        <f>Establishment!E222</f>
        <v>R6</v>
      </c>
      <c r="E128" s="133">
        <f>Establishment!C222</f>
        <v>1</v>
      </c>
      <c r="F128" s="134" t="str">
        <f>Establishment!D227</f>
        <v>Senior Clerical</v>
      </c>
      <c r="G128" s="134"/>
      <c r="H128" s="134"/>
      <c r="I128" s="133" t="str">
        <f>Establishment!E227</f>
        <v>R33-29</v>
      </c>
      <c r="J128" s="133">
        <f>Establishment!C227</f>
        <v>1</v>
      </c>
    </row>
    <row r="129" spans="1:10" ht="15" customHeight="1" x14ac:dyDescent="0.2">
      <c r="A129" s="134" t="str">
        <f>Establishment!D223</f>
        <v>Chief Procurement Officer</v>
      </c>
      <c r="B129" s="134"/>
      <c r="C129" s="134"/>
      <c r="D129" s="133" t="str">
        <f>Establishment!E223</f>
        <v>R7</v>
      </c>
      <c r="E129" s="133">
        <f>Establishment!C223</f>
        <v>1</v>
      </c>
      <c r="F129" s="134" t="str">
        <f>Establishment!D228</f>
        <v>Clerical Officer</v>
      </c>
      <c r="G129" s="134"/>
      <c r="H129" s="134"/>
      <c r="I129" s="133" t="str">
        <f>Establishment!E228</f>
        <v>R46-34</v>
      </c>
      <c r="J129" s="133">
        <f>Establishment!C228</f>
        <v>1</v>
      </c>
    </row>
    <row r="130" spans="1:10" ht="15" customHeight="1" x14ac:dyDescent="0.2">
      <c r="A130" s="134" t="str">
        <f>Establishment!D224</f>
        <v>Procurement Officer II</v>
      </c>
      <c r="B130" s="134"/>
      <c r="C130" s="134"/>
      <c r="D130" s="133" t="str">
        <f>Establishment!E224</f>
        <v>R17-13</v>
      </c>
      <c r="E130" s="133">
        <f>Establishment!C224</f>
        <v>0</v>
      </c>
      <c r="F130" s="134"/>
      <c r="G130" s="134"/>
      <c r="H130" s="134"/>
      <c r="I130" s="133"/>
      <c r="J130" s="133"/>
    </row>
    <row r="131" spans="1:10" ht="15" customHeight="1" x14ac:dyDescent="0.2">
      <c r="A131" s="203" t="s">
        <v>303</v>
      </c>
      <c r="B131" s="203"/>
      <c r="C131" s="203"/>
      <c r="D131" s="203"/>
      <c r="E131" s="203"/>
      <c r="F131" s="203"/>
      <c r="G131" s="203"/>
      <c r="H131" s="203"/>
      <c r="I131" s="203"/>
      <c r="J131" s="204">
        <f>SUM(E126:E130,J126:J130)</f>
        <v>8</v>
      </c>
    </row>
    <row r="132" spans="1:10" x14ac:dyDescent="0.2">
      <c r="A132" s="129"/>
      <c r="B132" s="129"/>
      <c r="C132" s="129"/>
      <c r="D132" s="129"/>
      <c r="E132" s="129"/>
      <c r="F132" s="179"/>
      <c r="G132" s="179"/>
      <c r="H132" s="179"/>
      <c r="I132" s="179"/>
      <c r="J132" s="179"/>
    </row>
    <row r="133" spans="1:10" ht="15" customHeight="1" x14ac:dyDescent="0.2">
      <c r="A133" s="180" t="s">
        <v>304</v>
      </c>
      <c r="B133" s="180"/>
      <c r="C133" s="180"/>
      <c r="D133" s="180"/>
      <c r="E133" s="180"/>
      <c r="F133" s="180"/>
      <c r="G133" s="180"/>
      <c r="H133" s="180"/>
      <c r="I133" s="180"/>
      <c r="J133" s="180"/>
    </row>
    <row r="134" spans="1:10" ht="15" customHeight="1" x14ac:dyDescent="0.2">
      <c r="A134" s="181" t="s">
        <v>305</v>
      </c>
      <c r="B134" s="181"/>
      <c r="C134" s="181"/>
      <c r="D134" s="181"/>
      <c r="E134" s="181"/>
      <c r="F134" s="181"/>
      <c r="G134" s="181"/>
      <c r="H134" s="181"/>
      <c r="I134" s="181"/>
      <c r="J134" s="181"/>
    </row>
    <row r="135" spans="1:10" ht="22.5" customHeight="1" x14ac:dyDescent="0.2">
      <c r="A135" s="317" t="s">
        <v>1032</v>
      </c>
      <c r="B135" s="317"/>
      <c r="C135" s="317"/>
      <c r="D135" s="317"/>
      <c r="E135" s="317"/>
      <c r="F135" s="317"/>
      <c r="G135" s="317"/>
      <c r="H135" s="317"/>
      <c r="I135" s="317"/>
      <c r="J135" s="317"/>
    </row>
    <row r="136" spans="1:10" ht="22.5" customHeight="1" x14ac:dyDescent="0.2">
      <c r="A136" s="317" t="s">
        <v>1033</v>
      </c>
      <c r="B136" s="317"/>
      <c r="C136" s="317"/>
      <c r="D136" s="317"/>
      <c r="E136" s="317"/>
      <c r="F136" s="317"/>
      <c r="G136" s="317"/>
      <c r="H136" s="317"/>
      <c r="I136" s="317"/>
      <c r="J136" s="317"/>
    </row>
    <row r="137" spans="1:10" x14ac:dyDescent="0.2">
      <c r="A137" s="317" t="s">
        <v>1034</v>
      </c>
      <c r="B137" s="317"/>
      <c r="C137" s="317"/>
      <c r="D137" s="317"/>
      <c r="E137" s="317"/>
      <c r="F137" s="317"/>
      <c r="G137" s="317"/>
      <c r="H137" s="317"/>
      <c r="I137" s="317"/>
      <c r="J137" s="317"/>
    </row>
    <row r="138" spans="1:10" x14ac:dyDescent="0.2">
      <c r="A138" s="317" t="s">
        <v>1035</v>
      </c>
      <c r="B138" s="317"/>
      <c r="C138" s="317"/>
      <c r="D138" s="317"/>
      <c r="E138" s="317"/>
      <c r="F138" s="317"/>
      <c r="G138" s="317"/>
      <c r="H138" s="317"/>
      <c r="I138" s="317"/>
      <c r="J138" s="317"/>
    </row>
    <row r="139" spans="1:10" x14ac:dyDescent="0.2">
      <c r="A139" s="317" t="s">
        <v>1036</v>
      </c>
      <c r="B139" s="317"/>
      <c r="C139" s="317"/>
      <c r="D139" s="317"/>
      <c r="E139" s="317"/>
      <c r="F139" s="317"/>
      <c r="G139" s="317"/>
      <c r="H139" s="317"/>
      <c r="I139" s="317"/>
      <c r="J139" s="317"/>
    </row>
    <row r="140" spans="1:10" x14ac:dyDescent="0.2">
      <c r="A140" s="129"/>
      <c r="B140" s="129"/>
      <c r="C140" s="129"/>
      <c r="D140" s="129"/>
      <c r="E140" s="129"/>
      <c r="F140" s="129"/>
      <c r="G140" s="129"/>
      <c r="H140" s="129"/>
      <c r="I140" s="129"/>
      <c r="J140" s="129"/>
    </row>
    <row r="141" spans="1:10" ht="15" customHeight="1" x14ac:dyDescent="0.2">
      <c r="A141" s="183" t="s">
        <v>415</v>
      </c>
      <c r="B141" s="183"/>
      <c r="C141" s="183"/>
      <c r="D141" s="183"/>
      <c r="E141" s="183"/>
      <c r="F141" s="183"/>
      <c r="G141" s="183"/>
      <c r="H141" s="183"/>
      <c r="I141" s="183"/>
      <c r="J141" s="183"/>
    </row>
    <row r="142" spans="1:10" x14ac:dyDescent="0.2">
      <c r="A142" s="129"/>
      <c r="B142" s="129"/>
      <c r="C142" s="129"/>
      <c r="D142" s="129"/>
      <c r="E142" s="129"/>
      <c r="F142" s="129"/>
      <c r="G142" s="129"/>
      <c r="H142" s="129"/>
      <c r="I142" s="129"/>
      <c r="J142" s="129"/>
    </row>
    <row r="143" spans="1:10" x14ac:dyDescent="0.2">
      <c r="A143" s="129"/>
      <c r="B143" s="129"/>
      <c r="C143" s="129"/>
      <c r="D143" s="129"/>
      <c r="E143" s="129"/>
      <c r="F143" s="129"/>
      <c r="G143" s="129"/>
      <c r="H143" s="129"/>
      <c r="I143" s="129"/>
      <c r="J143" s="129"/>
    </row>
    <row r="144" spans="1:10" x14ac:dyDescent="0.2">
      <c r="A144" s="129"/>
      <c r="B144" s="129"/>
      <c r="C144" s="129"/>
      <c r="D144" s="129"/>
      <c r="E144" s="129"/>
      <c r="F144" s="129"/>
      <c r="G144" s="129"/>
      <c r="H144" s="129"/>
      <c r="I144" s="129"/>
      <c r="J144" s="129"/>
    </row>
    <row r="145" spans="1:10" x14ac:dyDescent="0.2">
      <c r="A145" s="129"/>
      <c r="B145" s="129"/>
      <c r="C145" s="129"/>
      <c r="D145" s="129"/>
      <c r="E145" s="129"/>
      <c r="F145" s="129"/>
      <c r="G145" s="129"/>
      <c r="H145" s="129"/>
      <c r="I145" s="129"/>
      <c r="J145" s="129"/>
    </row>
    <row r="146" spans="1:10" ht="22.5" customHeight="1" x14ac:dyDescent="0.2">
      <c r="A146" s="180" t="s">
        <v>315</v>
      </c>
      <c r="B146" s="180"/>
      <c r="C146" s="180"/>
      <c r="D146" s="180"/>
      <c r="E146" s="180"/>
      <c r="F146" s="184" t="s">
        <v>2995</v>
      </c>
      <c r="G146" s="184" t="s">
        <v>2996</v>
      </c>
      <c r="H146" s="184" t="s">
        <v>2997</v>
      </c>
      <c r="I146" s="184" t="s">
        <v>2998</v>
      </c>
      <c r="J146" s="184" t="s">
        <v>2999</v>
      </c>
    </row>
    <row r="147" spans="1:10" ht="15" customHeight="1" x14ac:dyDescent="0.2">
      <c r="A147" s="180" t="s">
        <v>316</v>
      </c>
      <c r="B147" s="180"/>
      <c r="C147" s="180"/>
      <c r="D147" s="180"/>
      <c r="E147" s="180"/>
      <c r="F147" s="180"/>
      <c r="G147" s="180"/>
      <c r="H147" s="180"/>
      <c r="I147" s="180"/>
      <c r="J147" s="180"/>
    </row>
    <row r="148" spans="1:10" x14ac:dyDescent="0.2">
      <c r="A148" s="414" t="s">
        <v>1037</v>
      </c>
      <c r="B148" s="414"/>
      <c r="C148" s="414"/>
      <c r="D148" s="414"/>
      <c r="E148" s="414"/>
      <c r="F148" s="273"/>
      <c r="G148" s="190"/>
      <c r="H148" s="191" t="s">
        <v>1038</v>
      </c>
      <c r="I148" s="191">
        <v>30</v>
      </c>
      <c r="J148" s="191">
        <v>30</v>
      </c>
    </row>
    <row r="149" spans="1:10" x14ac:dyDescent="0.2">
      <c r="A149" s="356" t="s">
        <v>1039</v>
      </c>
      <c r="B149" s="414"/>
      <c r="C149" s="414"/>
      <c r="D149" s="414"/>
      <c r="E149" s="414"/>
      <c r="F149" s="273"/>
      <c r="G149" s="190"/>
      <c r="H149" s="191" t="s">
        <v>1040</v>
      </c>
      <c r="I149" s="191"/>
      <c r="J149" s="191"/>
    </row>
    <row r="150" spans="1:10" x14ac:dyDescent="0.2">
      <c r="A150" s="356" t="s">
        <v>1041</v>
      </c>
      <c r="B150" s="414"/>
      <c r="C150" s="414"/>
      <c r="D150" s="414"/>
      <c r="E150" s="414"/>
      <c r="F150" s="273"/>
      <c r="G150" s="190"/>
      <c r="H150" s="191">
        <v>3</v>
      </c>
      <c r="I150" s="191" t="s">
        <v>651</v>
      </c>
      <c r="J150" s="191" t="s">
        <v>651</v>
      </c>
    </row>
    <row r="151" spans="1:10" x14ac:dyDescent="0.2">
      <c r="A151" s="414"/>
      <c r="B151" s="414"/>
      <c r="C151" s="414"/>
      <c r="D151" s="414"/>
      <c r="E151" s="414"/>
      <c r="F151" s="273"/>
      <c r="G151" s="190"/>
      <c r="H151" s="190"/>
      <c r="I151" s="190"/>
      <c r="J151" s="190"/>
    </row>
    <row r="152" spans="1:10" ht="21.6" customHeight="1" x14ac:dyDescent="0.2">
      <c r="A152" s="180" t="s">
        <v>324</v>
      </c>
      <c r="B152" s="180"/>
      <c r="C152" s="180"/>
      <c r="D152" s="180"/>
      <c r="E152" s="180"/>
      <c r="F152" s="180"/>
      <c r="G152" s="180"/>
      <c r="H152" s="180"/>
      <c r="I152" s="180"/>
      <c r="J152" s="180"/>
    </row>
    <row r="153" spans="1:10" x14ac:dyDescent="0.2">
      <c r="A153" s="414" t="s">
        <v>1042</v>
      </c>
      <c r="B153" s="414"/>
      <c r="C153" s="414"/>
      <c r="D153" s="414"/>
      <c r="E153" s="414"/>
      <c r="F153" s="273"/>
      <c r="G153" s="190"/>
      <c r="H153" s="191" t="s">
        <v>1043</v>
      </c>
      <c r="I153" s="191" t="s">
        <v>1043</v>
      </c>
      <c r="J153" s="191">
        <v>5</v>
      </c>
    </row>
    <row r="154" spans="1:10" x14ac:dyDescent="0.2">
      <c r="A154" s="414" t="s">
        <v>1044</v>
      </c>
      <c r="B154" s="414"/>
      <c r="C154" s="414"/>
      <c r="D154" s="414"/>
      <c r="E154" s="414"/>
      <c r="F154" s="273"/>
      <c r="G154" s="190"/>
      <c r="H154" s="191" t="s">
        <v>686</v>
      </c>
      <c r="I154" s="191">
        <v>10</v>
      </c>
      <c r="J154" s="191">
        <v>10</v>
      </c>
    </row>
    <row r="155" spans="1:10" x14ac:dyDescent="0.2">
      <c r="A155" s="129"/>
      <c r="B155" s="129"/>
      <c r="C155" s="129"/>
      <c r="D155" s="129"/>
      <c r="E155" s="129"/>
      <c r="F155" s="129"/>
      <c r="G155" s="129"/>
      <c r="H155" s="129"/>
      <c r="I155" s="129"/>
      <c r="J155" s="129"/>
    </row>
    <row r="156" spans="1:10" ht="15" customHeight="1" x14ac:dyDescent="0.2">
      <c r="A156" s="150" t="s">
        <v>1045</v>
      </c>
      <c r="B156" s="150"/>
      <c r="C156" s="150"/>
      <c r="D156" s="150"/>
      <c r="E156" s="150"/>
      <c r="F156" s="150"/>
      <c r="G156" s="150"/>
      <c r="H156" s="150"/>
      <c r="I156" s="150"/>
      <c r="J156" s="150"/>
    </row>
    <row r="157" spans="1:10" x14ac:dyDescent="0.2">
      <c r="A157" s="151" t="s">
        <v>291</v>
      </c>
      <c r="B157" s="151"/>
      <c r="C157" s="151"/>
      <c r="D157" s="101"/>
      <c r="E157" s="101"/>
      <c r="F157" s="101"/>
      <c r="G157" s="101"/>
      <c r="H157" s="101"/>
      <c r="I157" s="101"/>
      <c r="J157" s="101"/>
    </row>
    <row r="158" spans="1:10" ht="25.15" customHeight="1" x14ac:dyDescent="0.2">
      <c r="A158" s="129" t="s">
        <v>1046</v>
      </c>
      <c r="B158" s="129"/>
      <c r="C158" s="129"/>
      <c r="D158" s="129"/>
      <c r="E158" s="129"/>
      <c r="F158" s="129"/>
      <c r="G158" s="129"/>
      <c r="H158" s="129"/>
      <c r="I158" s="129"/>
      <c r="J158" s="129"/>
    </row>
    <row r="159" spans="1:10" x14ac:dyDescent="0.2">
      <c r="A159" s="128" t="s">
        <v>293</v>
      </c>
      <c r="B159" s="128"/>
      <c r="C159" s="128"/>
      <c r="D159" s="128"/>
      <c r="E159" s="128"/>
      <c r="F159" s="128"/>
      <c r="G159" s="128"/>
      <c r="H159" s="128"/>
      <c r="I159" s="128"/>
      <c r="J159" s="128"/>
    </row>
    <row r="160" spans="1:10" ht="33.75" x14ac:dyDescent="0.2">
      <c r="A160" s="152" t="s">
        <v>243</v>
      </c>
      <c r="B160" s="415" t="s">
        <v>242</v>
      </c>
      <c r="C160" s="415"/>
      <c r="D160" s="415"/>
      <c r="E160" s="132" t="str">
        <f t="shared" ref="E160:J160" si="40">E24</f>
        <v>Actuals           2014-2015</v>
      </c>
      <c r="F160" s="132" t="str">
        <f t="shared" si="40"/>
        <v>Approved Estimates          2015-2016</v>
      </c>
      <c r="G160" s="132" t="str">
        <f t="shared" si="40"/>
        <v>Revised Estimates                 2015-2016</v>
      </c>
      <c r="H160" s="132" t="str">
        <f t="shared" si="40"/>
        <v>Budget Estimates      2016-2017</v>
      </c>
      <c r="I160" s="132" t="str">
        <f t="shared" si="40"/>
        <v>Forward Estimates     2017-2018</v>
      </c>
      <c r="J160" s="132" t="str">
        <f t="shared" si="40"/>
        <v>Forward Estimates     2018-2019</v>
      </c>
    </row>
    <row r="161" spans="1:10" ht="14.25" customHeight="1" x14ac:dyDescent="0.2">
      <c r="A161" s="416">
        <v>120</v>
      </c>
      <c r="B161" s="381" t="s">
        <v>1047</v>
      </c>
      <c r="C161" s="382"/>
      <c r="D161" s="383"/>
      <c r="E161" s="417">
        <v>470002.11</v>
      </c>
      <c r="F161" s="211">
        <v>940000</v>
      </c>
      <c r="G161" s="211">
        <v>940000</v>
      </c>
      <c r="H161" s="210">
        <v>960000</v>
      </c>
      <c r="I161" s="211">
        <v>980000</v>
      </c>
      <c r="J161" s="211">
        <v>980000</v>
      </c>
    </row>
    <row r="162" spans="1:10" ht="14.25" customHeight="1" x14ac:dyDescent="0.2">
      <c r="A162" s="207">
        <v>122</v>
      </c>
      <c r="B162" s="381" t="s">
        <v>1048</v>
      </c>
      <c r="C162" s="382"/>
      <c r="D162" s="383"/>
      <c r="E162" s="211">
        <v>0</v>
      </c>
      <c r="F162" s="211">
        <v>100</v>
      </c>
      <c r="G162" s="211">
        <v>100</v>
      </c>
      <c r="H162" s="210">
        <v>100</v>
      </c>
      <c r="I162" s="211">
        <v>100</v>
      </c>
      <c r="J162" s="211">
        <v>100</v>
      </c>
    </row>
    <row r="163" spans="1:10" ht="14.25" customHeight="1" x14ac:dyDescent="0.2">
      <c r="A163" s="207" t="s">
        <v>116</v>
      </c>
      <c r="B163" s="381" t="s">
        <v>1049</v>
      </c>
      <c r="C163" s="382"/>
      <c r="D163" s="383"/>
      <c r="E163" s="211">
        <v>0</v>
      </c>
      <c r="F163" s="211">
        <v>2300</v>
      </c>
      <c r="G163" s="211">
        <v>2300</v>
      </c>
      <c r="H163" s="210">
        <v>2300</v>
      </c>
      <c r="I163" s="211">
        <v>2300</v>
      </c>
      <c r="J163" s="211">
        <v>2300</v>
      </c>
    </row>
    <row r="164" spans="1:10" ht="14.25" customHeight="1" x14ac:dyDescent="0.2">
      <c r="A164" s="207">
        <v>130</v>
      </c>
      <c r="B164" s="381" t="s">
        <v>1050</v>
      </c>
      <c r="C164" s="382"/>
      <c r="D164" s="383"/>
      <c r="E164" s="211">
        <v>0</v>
      </c>
      <c r="F164" s="211">
        <v>600</v>
      </c>
      <c r="G164" s="211">
        <v>600</v>
      </c>
      <c r="H164" s="210">
        <v>600</v>
      </c>
      <c r="I164" s="211">
        <v>600</v>
      </c>
      <c r="J164" s="211">
        <v>600</v>
      </c>
    </row>
    <row r="165" spans="1:10" ht="14.25" customHeight="1" x14ac:dyDescent="0.2">
      <c r="A165" s="207">
        <v>130</v>
      </c>
      <c r="B165" s="381" t="s">
        <v>463</v>
      </c>
      <c r="C165" s="382"/>
      <c r="D165" s="383"/>
      <c r="E165" s="211">
        <v>0</v>
      </c>
      <c r="F165" s="211">
        <v>150000</v>
      </c>
      <c r="G165" s="211">
        <v>150000</v>
      </c>
      <c r="H165" s="210">
        <v>150000</v>
      </c>
      <c r="I165" s="211">
        <v>150000</v>
      </c>
      <c r="J165" s="211">
        <v>150000</v>
      </c>
    </row>
    <row r="166" spans="1:10" ht="14.25" customHeight="1" x14ac:dyDescent="0.2">
      <c r="A166" s="207">
        <v>130</v>
      </c>
      <c r="B166" s="381" t="s">
        <v>465</v>
      </c>
      <c r="C166" s="382"/>
      <c r="D166" s="383"/>
      <c r="E166" s="211">
        <v>0</v>
      </c>
      <c r="F166" s="211">
        <v>90000</v>
      </c>
      <c r="G166" s="211">
        <v>90000</v>
      </c>
      <c r="H166" s="210">
        <v>90000</v>
      </c>
      <c r="I166" s="211">
        <v>90000</v>
      </c>
      <c r="J166" s="211">
        <v>90000</v>
      </c>
    </row>
    <row r="167" spans="1:10" ht="14.25" customHeight="1" x14ac:dyDescent="0.2">
      <c r="A167" s="207" t="s">
        <v>736</v>
      </c>
      <c r="B167" s="381" t="s">
        <v>1051</v>
      </c>
      <c r="C167" s="382"/>
      <c r="D167" s="383"/>
      <c r="E167" s="211">
        <v>52500.2</v>
      </c>
      <c r="F167" s="211">
        <v>44000</v>
      </c>
      <c r="G167" s="211">
        <v>44000</v>
      </c>
      <c r="H167" s="210">
        <v>44000</v>
      </c>
      <c r="I167" s="211">
        <v>44000</v>
      </c>
      <c r="J167" s="211">
        <v>44000</v>
      </c>
    </row>
    <row r="168" spans="1:10" ht="14.25" customHeight="1" x14ac:dyDescent="0.2">
      <c r="A168" s="207" t="s">
        <v>736</v>
      </c>
      <c r="B168" s="381" t="s">
        <v>1052</v>
      </c>
      <c r="C168" s="382"/>
      <c r="D168" s="383"/>
      <c r="E168" s="211">
        <v>82884.37</v>
      </c>
      <c r="F168" s="211">
        <v>160000</v>
      </c>
      <c r="G168" s="211">
        <v>160000</v>
      </c>
      <c r="H168" s="210">
        <v>160000</v>
      </c>
      <c r="I168" s="211">
        <v>160000</v>
      </c>
      <c r="J168" s="211">
        <v>160000</v>
      </c>
    </row>
    <row r="169" spans="1:10" ht="14.25" customHeight="1" x14ac:dyDescent="0.2">
      <c r="A169" s="207" t="s">
        <v>736</v>
      </c>
      <c r="B169" s="381" t="s">
        <v>1053</v>
      </c>
      <c r="C169" s="382"/>
      <c r="D169" s="383"/>
      <c r="E169" s="211">
        <v>1009.96</v>
      </c>
      <c r="F169" s="211">
        <v>55000</v>
      </c>
      <c r="G169" s="211">
        <v>55000</v>
      </c>
      <c r="H169" s="210">
        <v>55000</v>
      </c>
      <c r="I169" s="211">
        <v>55000</v>
      </c>
      <c r="J169" s="211">
        <v>55000</v>
      </c>
    </row>
    <row r="170" spans="1:10" ht="14.25" customHeight="1" x14ac:dyDescent="0.2">
      <c r="A170" s="207" t="s">
        <v>736</v>
      </c>
      <c r="B170" s="381" t="s">
        <v>1054</v>
      </c>
      <c r="C170" s="382"/>
      <c r="D170" s="383"/>
      <c r="E170" s="211">
        <v>906287.07000000007</v>
      </c>
      <c r="F170" s="211">
        <v>120000</v>
      </c>
      <c r="G170" s="211">
        <v>214900</v>
      </c>
      <c r="H170" s="210">
        <v>120000</v>
      </c>
      <c r="I170" s="211">
        <v>120000</v>
      </c>
      <c r="J170" s="211">
        <v>120000</v>
      </c>
    </row>
    <row r="171" spans="1:10" ht="14.25" customHeight="1" x14ac:dyDescent="0.2">
      <c r="A171" s="207" t="s">
        <v>1055</v>
      </c>
      <c r="B171" s="381" t="s">
        <v>1056</v>
      </c>
      <c r="C171" s="382"/>
      <c r="D171" s="383"/>
      <c r="E171" s="211"/>
      <c r="F171" s="211">
        <v>0</v>
      </c>
      <c r="G171" s="211">
        <v>0</v>
      </c>
      <c r="H171" s="210">
        <v>0</v>
      </c>
      <c r="I171" s="211">
        <v>0</v>
      </c>
      <c r="J171" s="211">
        <v>0</v>
      </c>
    </row>
    <row r="172" spans="1:10" ht="14.25" customHeight="1" x14ac:dyDescent="0.2">
      <c r="A172" s="207" t="s">
        <v>117</v>
      </c>
      <c r="B172" s="381" t="s">
        <v>1057</v>
      </c>
      <c r="C172" s="382"/>
      <c r="D172" s="383"/>
      <c r="E172" s="211">
        <v>75349758.030000001</v>
      </c>
      <c r="F172" s="211">
        <v>79680000</v>
      </c>
      <c r="G172" s="211">
        <v>75929300</v>
      </c>
      <c r="H172" s="210">
        <v>78674900</v>
      </c>
      <c r="I172" s="211">
        <v>77984600</v>
      </c>
      <c r="J172" s="211">
        <v>77671300</v>
      </c>
    </row>
    <row r="173" spans="1:10" ht="14.25" customHeight="1" x14ac:dyDescent="0.2">
      <c r="A173" s="207" t="s">
        <v>1058</v>
      </c>
      <c r="B173" s="381" t="s">
        <v>1059</v>
      </c>
      <c r="C173" s="382"/>
      <c r="D173" s="383"/>
      <c r="E173" s="211">
        <v>0</v>
      </c>
      <c r="F173" s="211">
        <v>4000</v>
      </c>
      <c r="G173" s="211">
        <v>1000</v>
      </c>
      <c r="H173" s="210">
        <v>4000</v>
      </c>
      <c r="I173" s="211">
        <v>4000</v>
      </c>
      <c r="J173" s="211">
        <v>4000</v>
      </c>
    </row>
    <row r="174" spans="1:10" ht="14.25" customHeight="1" x14ac:dyDescent="0.2">
      <c r="A174" s="207" t="s">
        <v>1058</v>
      </c>
      <c r="B174" s="381" t="s">
        <v>1060</v>
      </c>
      <c r="C174" s="382"/>
      <c r="D174" s="383"/>
      <c r="E174" s="211">
        <v>287934.59999999998</v>
      </c>
      <c r="F174" s="211">
        <v>385000</v>
      </c>
      <c r="G174" s="211">
        <v>385000</v>
      </c>
      <c r="H174" s="210">
        <v>385000</v>
      </c>
      <c r="I174" s="211">
        <v>385000</v>
      </c>
      <c r="J174" s="211">
        <v>385000</v>
      </c>
    </row>
    <row r="175" spans="1:10" ht="14.25" customHeight="1" x14ac:dyDescent="0.2">
      <c r="A175" s="207" t="s">
        <v>1058</v>
      </c>
      <c r="B175" s="381" t="s">
        <v>1061</v>
      </c>
      <c r="C175" s="382"/>
      <c r="D175" s="383"/>
      <c r="E175" s="211">
        <v>6800</v>
      </c>
      <c r="F175" s="211">
        <v>14000</v>
      </c>
      <c r="G175" s="211">
        <v>7000</v>
      </c>
      <c r="H175" s="210">
        <v>14000</v>
      </c>
      <c r="I175" s="211">
        <v>14000</v>
      </c>
      <c r="J175" s="211">
        <v>14000</v>
      </c>
    </row>
    <row r="176" spans="1:10" x14ac:dyDescent="0.2">
      <c r="A176" s="137" t="s">
        <v>1027</v>
      </c>
      <c r="B176" s="137"/>
      <c r="C176" s="137"/>
      <c r="D176" s="137"/>
      <c r="E176" s="138">
        <f t="shared" ref="E176:J176" si="41">SUM(E161:E175)</f>
        <v>77157176.339999989</v>
      </c>
      <c r="F176" s="138">
        <f t="shared" si="41"/>
        <v>81645000</v>
      </c>
      <c r="G176" s="138">
        <f t="shared" si="41"/>
        <v>77979200</v>
      </c>
      <c r="H176" s="138">
        <f t="shared" si="41"/>
        <v>80659900</v>
      </c>
      <c r="I176" s="138">
        <f t="shared" si="41"/>
        <v>79989600</v>
      </c>
      <c r="J176" s="138">
        <f t="shared" si="41"/>
        <v>79676300</v>
      </c>
    </row>
    <row r="177" spans="1:10" ht="15" customHeight="1" x14ac:dyDescent="0.2">
      <c r="A177" s="129"/>
      <c r="B177" s="129"/>
      <c r="C177" s="129"/>
      <c r="D177" s="129"/>
      <c r="E177" s="129"/>
      <c r="F177" s="129"/>
      <c r="G177" s="129"/>
      <c r="H177" s="129"/>
      <c r="I177" s="129"/>
      <c r="J177" s="129"/>
    </row>
    <row r="178" spans="1:10" x14ac:dyDescent="0.2">
      <c r="A178" s="128" t="s">
        <v>284</v>
      </c>
      <c r="B178" s="128"/>
      <c r="C178" s="128"/>
      <c r="D178" s="128"/>
      <c r="E178" s="128"/>
      <c r="F178" s="128"/>
      <c r="G178" s="128"/>
      <c r="H178" s="128"/>
      <c r="I178" s="128"/>
      <c r="J178" s="128"/>
    </row>
    <row r="179" spans="1:10" ht="33.75" x14ac:dyDescent="0.2">
      <c r="A179" s="152" t="s">
        <v>243</v>
      </c>
      <c r="B179" s="151" t="s">
        <v>242</v>
      </c>
      <c r="C179" s="151"/>
      <c r="D179" s="151"/>
      <c r="E179" s="132" t="str">
        <f t="shared" ref="E179:J179" si="42">E24</f>
        <v>Actuals           2014-2015</v>
      </c>
      <c r="F179" s="132" t="str">
        <f t="shared" si="42"/>
        <v>Approved Estimates          2015-2016</v>
      </c>
      <c r="G179" s="132" t="str">
        <f t="shared" si="42"/>
        <v>Revised Estimates                 2015-2016</v>
      </c>
      <c r="H179" s="132" t="str">
        <f t="shared" si="42"/>
        <v>Budget Estimates      2016-2017</v>
      </c>
      <c r="I179" s="132" t="str">
        <f t="shared" si="42"/>
        <v>Forward Estimates     2017-2018</v>
      </c>
      <c r="J179" s="132" t="str">
        <f t="shared" si="42"/>
        <v>Forward Estimates     2018-2019</v>
      </c>
    </row>
    <row r="180" spans="1:10" ht="15" customHeight="1" x14ac:dyDescent="0.2">
      <c r="A180" s="151" t="s">
        <v>7</v>
      </c>
      <c r="B180" s="151"/>
      <c r="C180" s="151"/>
      <c r="D180" s="151"/>
      <c r="E180" s="151"/>
      <c r="F180" s="151"/>
      <c r="G180" s="151"/>
      <c r="H180" s="151"/>
      <c r="I180" s="151"/>
      <c r="J180" s="190"/>
    </row>
    <row r="181" spans="1:10" x14ac:dyDescent="0.2">
      <c r="A181" s="207">
        <v>210</v>
      </c>
      <c r="B181" s="129" t="s">
        <v>7</v>
      </c>
      <c r="C181" s="101"/>
      <c r="D181" s="101"/>
      <c r="E181" s="211">
        <v>327448.09000000003</v>
      </c>
      <c r="F181" s="211">
        <v>433900</v>
      </c>
      <c r="G181" s="211">
        <v>390300</v>
      </c>
      <c r="H181" s="210">
        <v>432900</v>
      </c>
      <c r="I181" s="211">
        <v>491800</v>
      </c>
      <c r="J181" s="211">
        <v>496500</v>
      </c>
    </row>
    <row r="182" spans="1:10" x14ac:dyDescent="0.2">
      <c r="A182" s="207">
        <v>212</v>
      </c>
      <c r="B182" s="129" t="s">
        <v>9</v>
      </c>
      <c r="C182" s="101"/>
      <c r="D182" s="101"/>
      <c r="E182" s="211">
        <v>0</v>
      </c>
      <c r="F182" s="211">
        <v>0</v>
      </c>
      <c r="G182" s="211">
        <v>0</v>
      </c>
      <c r="H182" s="210">
        <v>0</v>
      </c>
      <c r="I182" s="211">
        <v>0</v>
      </c>
      <c r="J182" s="211">
        <v>0</v>
      </c>
    </row>
    <row r="183" spans="1:10" x14ac:dyDescent="0.2">
      <c r="A183" s="207">
        <v>216</v>
      </c>
      <c r="B183" s="129" t="s">
        <v>10</v>
      </c>
      <c r="C183" s="101"/>
      <c r="D183" s="101"/>
      <c r="E183" s="211">
        <v>46777.83</v>
      </c>
      <c r="F183" s="211">
        <v>87400</v>
      </c>
      <c r="G183" s="211">
        <v>68800</v>
      </c>
      <c r="H183" s="210">
        <v>95400</v>
      </c>
      <c r="I183" s="211">
        <v>95400</v>
      </c>
      <c r="J183" s="211">
        <v>95400</v>
      </c>
    </row>
    <row r="184" spans="1:10" x14ac:dyDescent="0.2">
      <c r="A184" s="207">
        <v>218</v>
      </c>
      <c r="B184" s="129" t="s">
        <v>294</v>
      </c>
      <c r="C184" s="101"/>
      <c r="D184" s="101"/>
      <c r="E184" s="211">
        <v>0</v>
      </c>
      <c r="F184" s="211">
        <v>0</v>
      </c>
      <c r="G184" s="211">
        <v>0</v>
      </c>
      <c r="H184" s="210">
        <v>0</v>
      </c>
      <c r="I184" s="211">
        <v>0</v>
      </c>
      <c r="J184" s="211">
        <v>0</v>
      </c>
    </row>
    <row r="185" spans="1:10" ht="15" customHeight="1" x14ac:dyDescent="0.2">
      <c r="A185" s="156" t="s">
        <v>295</v>
      </c>
      <c r="B185" s="156"/>
      <c r="C185" s="156"/>
      <c r="D185" s="156"/>
      <c r="E185" s="157">
        <f t="shared" ref="E185:J185" si="43">SUM(E181:E184)</f>
        <v>374225.92000000004</v>
      </c>
      <c r="F185" s="157">
        <f t="shared" si="43"/>
        <v>521300</v>
      </c>
      <c r="G185" s="157">
        <f t="shared" si="43"/>
        <v>459100</v>
      </c>
      <c r="H185" s="157">
        <f t="shared" si="43"/>
        <v>528300</v>
      </c>
      <c r="I185" s="157">
        <f t="shared" si="43"/>
        <v>587200</v>
      </c>
      <c r="J185" s="157">
        <f t="shared" si="43"/>
        <v>591900</v>
      </c>
    </row>
    <row r="186" spans="1:10" ht="15" customHeight="1" x14ac:dyDescent="0.2">
      <c r="A186" s="156" t="s">
        <v>296</v>
      </c>
      <c r="B186" s="156"/>
      <c r="C186" s="156"/>
      <c r="D186" s="156"/>
      <c r="E186" s="156"/>
      <c r="F186" s="156"/>
      <c r="G186" s="156"/>
      <c r="H186" s="156"/>
      <c r="I186" s="156"/>
      <c r="J186" s="190"/>
    </row>
    <row r="187" spans="1:10" ht="14.25" customHeight="1" x14ac:dyDescent="0.2">
      <c r="A187" s="207">
        <v>222</v>
      </c>
      <c r="B187" s="381" t="s">
        <v>205</v>
      </c>
      <c r="C187" s="382"/>
      <c r="D187" s="383"/>
      <c r="E187" s="211">
        <v>29588.91</v>
      </c>
      <c r="F187" s="211">
        <v>30000</v>
      </c>
      <c r="G187" s="211">
        <v>30000</v>
      </c>
      <c r="H187" s="210">
        <v>18000</v>
      </c>
      <c r="I187" s="211">
        <v>18000</v>
      </c>
      <c r="J187" s="211">
        <v>18000</v>
      </c>
    </row>
    <row r="188" spans="1:10" ht="14.25" customHeight="1" x14ac:dyDescent="0.2">
      <c r="A188" s="207">
        <v>229</v>
      </c>
      <c r="B188" s="381" t="s">
        <v>209</v>
      </c>
      <c r="C188" s="382"/>
      <c r="D188" s="383"/>
      <c r="E188" s="211">
        <v>442460.73</v>
      </c>
      <c r="F188" s="211">
        <v>1800000</v>
      </c>
      <c r="G188" s="211">
        <v>1800000</v>
      </c>
      <c r="H188" s="210">
        <f>1800000-200000</f>
        <v>1600000</v>
      </c>
      <c r="I188" s="211">
        <v>1800000</v>
      </c>
      <c r="J188" s="211">
        <v>1800000</v>
      </c>
    </row>
    <row r="189" spans="1:10" ht="14.25" customHeight="1" x14ac:dyDescent="0.2">
      <c r="A189" s="207">
        <v>236</v>
      </c>
      <c r="B189" s="381" t="s">
        <v>213</v>
      </c>
      <c r="C189" s="382"/>
      <c r="D189" s="383"/>
      <c r="E189" s="211">
        <v>1233295.2</v>
      </c>
      <c r="F189" s="211">
        <v>110000</v>
      </c>
      <c r="G189" s="211">
        <v>110000</v>
      </c>
      <c r="H189" s="210">
        <v>110000</v>
      </c>
      <c r="I189" s="211">
        <v>110000</v>
      </c>
      <c r="J189" s="211">
        <v>110000</v>
      </c>
    </row>
    <row r="190" spans="1:10" ht="14.25" customHeight="1" x14ac:dyDescent="0.2">
      <c r="A190" s="207">
        <v>274</v>
      </c>
      <c r="B190" s="381" t="s">
        <v>227</v>
      </c>
      <c r="C190" s="382"/>
      <c r="D190" s="383"/>
      <c r="E190" s="211">
        <v>1087576.9099999999</v>
      </c>
      <c r="F190" s="211">
        <v>2500000</v>
      </c>
      <c r="G190" s="211">
        <v>486400</v>
      </c>
      <c r="H190" s="210">
        <f>500000-200000-75000-75000</f>
        <v>150000</v>
      </c>
      <c r="I190" s="211">
        <f t="shared" ref="I190:J190" si="44">500000-200000-75000-75000</f>
        <v>150000</v>
      </c>
      <c r="J190" s="211">
        <f t="shared" si="44"/>
        <v>150000</v>
      </c>
    </row>
    <row r="191" spans="1:10" ht="14.25" customHeight="1" x14ac:dyDescent="0.2">
      <c r="A191" s="207">
        <v>290</v>
      </c>
      <c r="B191" s="381" t="s">
        <v>238</v>
      </c>
      <c r="C191" s="382"/>
      <c r="D191" s="383"/>
      <c r="E191" s="211">
        <v>15</v>
      </c>
      <c r="F191" s="211">
        <v>0</v>
      </c>
      <c r="G191" s="211">
        <v>0</v>
      </c>
      <c r="H191" s="210">
        <v>324400</v>
      </c>
      <c r="I191" s="211">
        <v>324400</v>
      </c>
      <c r="J191" s="211">
        <v>324400</v>
      </c>
    </row>
    <row r="192" spans="1:10" ht="14.25" customHeight="1" x14ac:dyDescent="0.2">
      <c r="A192" s="207">
        <v>292</v>
      </c>
      <c r="B192" s="381" t="s">
        <v>239</v>
      </c>
      <c r="C192" s="382"/>
      <c r="D192" s="383"/>
      <c r="E192" s="211">
        <v>501663.92</v>
      </c>
      <c r="F192" s="211">
        <v>502000</v>
      </c>
      <c r="G192" s="211">
        <v>501900</v>
      </c>
      <c r="H192" s="210">
        <v>502000</v>
      </c>
      <c r="I192" s="211">
        <v>502000</v>
      </c>
      <c r="J192" s="211">
        <v>502000</v>
      </c>
    </row>
    <row r="193" spans="1:10" ht="14.25" customHeight="1" x14ac:dyDescent="0.2">
      <c r="A193" s="207">
        <v>293</v>
      </c>
      <c r="B193" s="381" t="s">
        <v>1062</v>
      </c>
      <c r="C193" s="382"/>
      <c r="D193" s="383"/>
      <c r="E193" s="211">
        <v>139956.01</v>
      </c>
      <c r="F193" s="211">
        <v>138000</v>
      </c>
      <c r="G193" s="211">
        <v>133000</v>
      </c>
      <c r="H193" s="210">
        <f>138000+(109300)</f>
        <v>247300</v>
      </c>
      <c r="I193" s="211">
        <f t="shared" ref="I193:J193" si="45">138000+(109300)</f>
        <v>247300</v>
      </c>
      <c r="J193" s="211">
        <f t="shared" si="45"/>
        <v>247300</v>
      </c>
    </row>
    <row r="194" spans="1:10" ht="15" customHeight="1" x14ac:dyDescent="0.2">
      <c r="A194" s="156" t="s">
        <v>298</v>
      </c>
      <c r="B194" s="156"/>
      <c r="C194" s="156"/>
      <c r="D194" s="156"/>
      <c r="E194" s="157">
        <f t="shared" ref="E194:J194" si="46">SUM(E187:E193)</f>
        <v>3434556.6799999997</v>
      </c>
      <c r="F194" s="157">
        <f t="shared" si="46"/>
        <v>5080000</v>
      </c>
      <c r="G194" s="157">
        <f t="shared" si="46"/>
        <v>3061300</v>
      </c>
      <c r="H194" s="157">
        <f t="shared" si="46"/>
        <v>2951700</v>
      </c>
      <c r="I194" s="157">
        <f t="shared" si="46"/>
        <v>3151700</v>
      </c>
      <c r="J194" s="157">
        <f t="shared" si="46"/>
        <v>3151700</v>
      </c>
    </row>
    <row r="195" spans="1:10" x14ac:dyDescent="0.2">
      <c r="A195" s="159" t="s">
        <v>299</v>
      </c>
      <c r="B195" s="159"/>
      <c r="C195" s="159"/>
      <c r="D195" s="159"/>
      <c r="E195" s="160">
        <f t="shared" ref="E195:J195" si="47">SUM(E185,E194)</f>
        <v>3808782.5999999996</v>
      </c>
      <c r="F195" s="160">
        <f t="shared" si="47"/>
        <v>5601300</v>
      </c>
      <c r="G195" s="160">
        <f t="shared" si="47"/>
        <v>3520400</v>
      </c>
      <c r="H195" s="160">
        <f t="shared" si="47"/>
        <v>3480000</v>
      </c>
      <c r="I195" s="160">
        <f t="shared" si="47"/>
        <v>3738900</v>
      </c>
      <c r="J195" s="160">
        <f t="shared" si="47"/>
        <v>3743600</v>
      </c>
    </row>
    <row r="196" spans="1:10" ht="18" customHeight="1" x14ac:dyDescent="0.2">
      <c r="A196" s="129"/>
      <c r="B196" s="129"/>
      <c r="C196" s="129"/>
      <c r="D196" s="129"/>
      <c r="E196" s="129"/>
      <c r="F196" s="129"/>
      <c r="G196" s="129"/>
      <c r="H196" s="129"/>
      <c r="I196" s="129"/>
      <c r="J196" s="190"/>
    </row>
    <row r="197" spans="1:10" ht="15" customHeight="1" x14ac:dyDescent="0.2">
      <c r="A197" s="162" t="s">
        <v>15</v>
      </c>
      <c r="B197" s="162"/>
      <c r="C197" s="162"/>
      <c r="D197" s="162"/>
      <c r="E197" s="162"/>
      <c r="F197" s="162"/>
      <c r="G197" s="162"/>
      <c r="H197" s="162"/>
      <c r="I197" s="162"/>
      <c r="J197" s="162"/>
    </row>
    <row r="198" spans="1:10" ht="18.75" customHeight="1" x14ac:dyDescent="0.2">
      <c r="A198" s="131" t="s">
        <v>242</v>
      </c>
      <c r="B198" s="131"/>
      <c r="C198" s="131"/>
      <c r="D198" s="131"/>
      <c r="E198" s="128" t="str">
        <f t="shared" ref="E198:J198" si="48">E24</f>
        <v>Actuals           2014-2015</v>
      </c>
      <c r="F198" s="128" t="str">
        <f t="shared" si="48"/>
        <v>Approved Estimates          2015-2016</v>
      </c>
      <c r="G198" s="128" t="str">
        <f t="shared" si="48"/>
        <v>Revised Estimates                 2015-2016</v>
      </c>
      <c r="H198" s="128" t="str">
        <f t="shared" si="48"/>
        <v>Budget Estimates      2016-2017</v>
      </c>
      <c r="I198" s="128" t="str">
        <f t="shared" si="48"/>
        <v>Forward Estimates     2017-2018</v>
      </c>
      <c r="J198" s="128" t="str">
        <f t="shared" si="48"/>
        <v>Forward Estimates     2018-2019</v>
      </c>
    </row>
    <row r="199" spans="1:10" ht="15" customHeight="1" x14ac:dyDescent="0.2">
      <c r="A199" s="130" t="s">
        <v>243</v>
      </c>
      <c r="B199" s="130" t="s">
        <v>244</v>
      </c>
      <c r="C199" s="131" t="s">
        <v>245</v>
      </c>
      <c r="D199" s="131"/>
      <c r="E199" s="101"/>
      <c r="F199" s="101"/>
      <c r="G199" s="101"/>
      <c r="H199" s="101"/>
      <c r="I199" s="101"/>
      <c r="J199" s="101"/>
    </row>
    <row r="200" spans="1:10" ht="15" customHeight="1" x14ac:dyDescent="0.2">
      <c r="A200" s="335" t="s">
        <v>1063</v>
      </c>
      <c r="B200" s="144" t="s">
        <v>633</v>
      </c>
      <c r="C200" s="377" t="s">
        <v>1064</v>
      </c>
      <c r="D200" s="413"/>
      <c r="E200" s="158">
        <v>399100</v>
      </c>
      <c r="F200" s="209">
        <v>0</v>
      </c>
      <c r="G200" s="158">
        <v>0</v>
      </c>
      <c r="H200" s="136">
        <v>0</v>
      </c>
      <c r="I200" s="158">
        <v>0</v>
      </c>
      <c r="J200" s="158">
        <v>0</v>
      </c>
    </row>
    <row r="201" spans="1:10" ht="15" customHeight="1" x14ac:dyDescent="0.2">
      <c r="A201" s="335" t="s">
        <v>1065</v>
      </c>
      <c r="B201" s="144" t="s">
        <v>859</v>
      </c>
      <c r="C201" s="377" t="s">
        <v>1066</v>
      </c>
      <c r="D201" s="413"/>
      <c r="E201" s="158">
        <v>1291371.47</v>
      </c>
      <c r="F201" s="209">
        <v>2500000</v>
      </c>
      <c r="G201" s="158">
        <v>2500000</v>
      </c>
      <c r="H201" s="136">
        <v>1000000</v>
      </c>
      <c r="I201" s="158">
        <v>500000</v>
      </c>
      <c r="J201" s="158">
        <v>0</v>
      </c>
    </row>
    <row r="202" spans="1:10" ht="15" customHeight="1" x14ac:dyDescent="0.2">
      <c r="A202" s="335" t="s">
        <v>1067</v>
      </c>
      <c r="B202" s="144" t="s">
        <v>633</v>
      </c>
      <c r="C202" s="377" t="s">
        <v>1068</v>
      </c>
      <c r="D202" s="413"/>
      <c r="E202" s="158">
        <v>1010773.01</v>
      </c>
      <c r="F202" s="209">
        <v>284800</v>
      </c>
      <c r="G202" s="158">
        <v>394300</v>
      </c>
      <c r="H202" s="136">
        <v>0</v>
      </c>
      <c r="I202" s="158">
        <v>0</v>
      </c>
      <c r="J202" s="158">
        <v>0</v>
      </c>
    </row>
    <row r="203" spans="1:10" ht="15" customHeight="1" x14ac:dyDescent="0.2">
      <c r="A203" s="335" t="s">
        <v>1069</v>
      </c>
      <c r="B203" s="144" t="s">
        <v>633</v>
      </c>
      <c r="C203" s="377" t="s">
        <v>1070</v>
      </c>
      <c r="D203" s="413"/>
      <c r="E203" s="158">
        <v>3057051.4699999997</v>
      </c>
      <c r="F203" s="209">
        <v>2200000</v>
      </c>
      <c r="G203" s="158">
        <v>2224000</v>
      </c>
      <c r="H203" s="136">
        <v>41600</v>
      </c>
      <c r="I203" s="158">
        <v>0</v>
      </c>
      <c r="J203" s="158">
        <v>0</v>
      </c>
    </row>
    <row r="204" spans="1:10" ht="15" customHeight="1" x14ac:dyDescent="0.2">
      <c r="A204" s="335" t="s">
        <v>1071</v>
      </c>
      <c r="B204" s="144" t="s">
        <v>633</v>
      </c>
      <c r="C204" s="377" t="s">
        <v>1072</v>
      </c>
      <c r="D204" s="413"/>
      <c r="E204" s="158">
        <v>0</v>
      </c>
      <c r="F204" s="209">
        <v>157400</v>
      </c>
      <c r="G204" s="158">
        <v>157400</v>
      </c>
      <c r="H204" s="136">
        <v>157400</v>
      </c>
      <c r="I204" s="158">
        <v>0</v>
      </c>
      <c r="J204" s="158">
        <v>0</v>
      </c>
    </row>
    <row r="205" spans="1:10" ht="15" customHeight="1" x14ac:dyDescent="0.2">
      <c r="A205" s="335" t="s">
        <v>1073</v>
      </c>
      <c r="B205" s="144" t="s">
        <v>633</v>
      </c>
      <c r="C205" s="377" t="s">
        <v>1074</v>
      </c>
      <c r="D205" s="413"/>
      <c r="E205" s="158">
        <v>992344.27999999991</v>
      </c>
      <c r="F205" s="209">
        <v>0</v>
      </c>
      <c r="G205" s="158">
        <v>0</v>
      </c>
      <c r="H205" s="136">
        <v>0</v>
      </c>
      <c r="I205" s="158">
        <v>0</v>
      </c>
      <c r="J205" s="158">
        <v>0</v>
      </c>
    </row>
    <row r="206" spans="1:10" ht="15" customHeight="1" x14ac:dyDescent="0.2">
      <c r="A206" s="335" t="s">
        <v>1075</v>
      </c>
      <c r="B206" s="144" t="s">
        <v>859</v>
      </c>
      <c r="C206" s="377" t="s">
        <v>1076</v>
      </c>
      <c r="D206" s="413"/>
      <c r="E206" s="158">
        <v>1598124.3800000001</v>
      </c>
      <c r="F206" s="209">
        <v>0</v>
      </c>
      <c r="G206" s="158">
        <v>0</v>
      </c>
      <c r="H206" s="136">
        <v>0</v>
      </c>
      <c r="I206" s="158">
        <v>0</v>
      </c>
      <c r="J206" s="158">
        <v>0</v>
      </c>
    </row>
    <row r="207" spans="1:10" ht="15" customHeight="1" x14ac:dyDescent="0.2">
      <c r="A207" s="335" t="s">
        <v>1077</v>
      </c>
      <c r="B207" s="144" t="s">
        <v>633</v>
      </c>
      <c r="C207" s="377" t="s">
        <v>1078</v>
      </c>
      <c r="D207" s="413"/>
      <c r="E207" s="158">
        <v>72260.2</v>
      </c>
      <c r="F207" s="209">
        <v>302000</v>
      </c>
      <c r="G207" s="158">
        <v>302000</v>
      </c>
      <c r="H207" s="136">
        <v>0</v>
      </c>
      <c r="I207" s="158">
        <v>0</v>
      </c>
      <c r="J207" s="158">
        <v>0</v>
      </c>
    </row>
    <row r="208" spans="1:10" ht="15" customHeight="1" x14ac:dyDescent="0.2">
      <c r="A208" s="335" t="s">
        <v>1079</v>
      </c>
      <c r="B208" s="144" t="s">
        <v>633</v>
      </c>
      <c r="C208" s="377" t="s">
        <v>1080</v>
      </c>
      <c r="D208" s="413"/>
      <c r="E208" s="158">
        <v>2503190.7500000005</v>
      </c>
      <c r="F208" s="209">
        <v>1000000</v>
      </c>
      <c r="G208" s="158">
        <v>1817100</v>
      </c>
      <c r="H208" s="136">
        <v>200000</v>
      </c>
      <c r="I208" s="158">
        <v>0</v>
      </c>
      <c r="J208" s="158">
        <v>0</v>
      </c>
    </row>
    <row r="209" spans="1:10" ht="15" customHeight="1" x14ac:dyDescent="0.2">
      <c r="A209" s="335" t="s">
        <v>1081</v>
      </c>
      <c r="B209" s="144" t="s">
        <v>859</v>
      </c>
      <c r="C209" s="377" t="s">
        <v>1082</v>
      </c>
      <c r="D209" s="413"/>
      <c r="E209" s="158">
        <v>200000</v>
      </c>
      <c r="F209" s="209">
        <v>0</v>
      </c>
      <c r="G209" s="158">
        <v>0</v>
      </c>
      <c r="H209" s="136">
        <v>0</v>
      </c>
      <c r="I209" s="158">
        <v>0</v>
      </c>
      <c r="J209" s="158">
        <v>0</v>
      </c>
    </row>
    <row r="210" spans="1:10" ht="15" customHeight="1" x14ac:dyDescent="0.2">
      <c r="A210" s="335" t="s">
        <v>1083</v>
      </c>
      <c r="B210" s="144" t="s">
        <v>859</v>
      </c>
      <c r="C210" s="377" t="s">
        <v>1084</v>
      </c>
      <c r="D210" s="413"/>
      <c r="E210" s="158">
        <v>3640000</v>
      </c>
      <c r="F210" s="209">
        <v>0</v>
      </c>
      <c r="G210" s="158">
        <v>0</v>
      </c>
      <c r="H210" s="136">
        <v>0</v>
      </c>
      <c r="I210" s="158">
        <v>0</v>
      </c>
      <c r="J210" s="158">
        <v>0</v>
      </c>
    </row>
    <row r="211" spans="1:10" ht="15" customHeight="1" x14ac:dyDescent="0.2">
      <c r="A211" s="335" t="s">
        <v>1085</v>
      </c>
      <c r="B211" s="144" t="s">
        <v>859</v>
      </c>
      <c r="C211" s="377" t="s">
        <v>1086</v>
      </c>
      <c r="D211" s="413"/>
      <c r="E211" s="158">
        <v>590997.90999999992</v>
      </c>
      <c r="F211" s="209">
        <v>1500000</v>
      </c>
      <c r="G211" s="158">
        <v>1219600</v>
      </c>
      <c r="H211" s="136">
        <v>500000</v>
      </c>
      <c r="I211" s="158">
        <v>0</v>
      </c>
      <c r="J211" s="158">
        <v>0</v>
      </c>
    </row>
    <row r="212" spans="1:10" ht="15" customHeight="1" x14ac:dyDescent="0.2">
      <c r="A212" s="335" t="s">
        <v>1087</v>
      </c>
      <c r="B212" s="144" t="s">
        <v>633</v>
      </c>
      <c r="C212" s="377" t="s">
        <v>1088</v>
      </c>
      <c r="D212" s="413"/>
      <c r="E212" s="158">
        <v>5120878.0199999996</v>
      </c>
      <c r="F212" s="209">
        <v>10000000</v>
      </c>
      <c r="G212" s="158">
        <v>10000000</v>
      </c>
      <c r="H212" s="136">
        <v>8296500</v>
      </c>
      <c r="I212" s="158">
        <v>0</v>
      </c>
      <c r="J212" s="158">
        <v>0</v>
      </c>
    </row>
    <row r="213" spans="1:10" ht="15" customHeight="1" x14ac:dyDescent="0.2">
      <c r="A213" s="335" t="s">
        <v>1089</v>
      </c>
      <c r="B213" s="144" t="s">
        <v>859</v>
      </c>
      <c r="C213" s="377" t="s">
        <v>1090</v>
      </c>
      <c r="D213" s="413"/>
      <c r="E213" s="158">
        <v>700000</v>
      </c>
      <c r="F213" s="209">
        <v>0</v>
      </c>
      <c r="G213" s="158">
        <v>1200000</v>
      </c>
      <c r="H213" s="136">
        <v>393200</v>
      </c>
      <c r="I213" s="158">
        <v>0</v>
      </c>
      <c r="J213" s="158">
        <v>0</v>
      </c>
    </row>
    <row r="214" spans="1:10" ht="15" customHeight="1" x14ac:dyDescent="0.2">
      <c r="A214" s="335" t="s">
        <v>1091</v>
      </c>
      <c r="B214" s="144" t="s">
        <v>859</v>
      </c>
      <c r="C214" s="377" t="s">
        <v>1092</v>
      </c>
      <c r="D214" s="413"/>
      <c r="E214" s="158">
        <v>0</v>
      </c>
      <c r="F214" s="209">
        <v>1500000</v>
      </c>
      <c r="G214" s="158">
        <v>1000000</v>
      </c>
      <c r="H214" s="136">
        <v>0</v>
      </c>
      <c r="I214" s="158">
        <v>0</v>
      </c>
      <c r="J214" s="158">
        <v>0</v>
      </c>
    </row>
    <row r="215" spans="1:10" ht="15" customHeight="1" x14ac:dyDescent="0.2">
      <c r="A215" s="335" t="s">
        <v>1093</v>
      </c>
      <c r="B215" s="144" t="s">
        <v>859</v>
      </c>
      <c r="C215" s="377" t="s">
        <v>1094</v>
      </c>
      <c r="D215" s="413"/>
      <c r="E215" s="158">
        <v>305671</v>
      </c>
      <c r="F215" s="209">
        <v>1300000</v>
      </c>
      <c r="G215" s="158">
        <v>1300000</v>
      </c>
      <c r="H215" s="136">
        <v>1300000</v>
      </c>
      <c r="I215" s="158">
        <v>0</v>
      </c>
      <c r="J215" s="158">
        <v>0</v>
      </c>
    </row>
    <row r="216" spans="1:10" ht="15" customHeight="1" x14ac:dyDescent="0.2">
      <c r="A216" s="335" t="s">
        <v>1095</v>
      </c>
      <c r="B216" s="144" t="s">
        <v>859</v>
      </c>
      <c r="C216" s="377" t="s">
        <v>1096</v>
      </c>
      <c r="D216" s="413"/>
      <c r="E216" s="158">
        <v>0</v>
      </c>
      <c r="F216" s="209">
        <v>1500000</v>
      </c>
      <c r="G216" s="158">
        <v>1026100</v>
      </c>
      <c r="H216" s="136">
        <v>1026100</v>
      </c>
      <c r="I216" s="158">
        <v>0</v>
      </c>
      <c r="J216" s="158">
        <v>0</v>
      </c>
    </row>
    <row r="217" spans="1:10" ht="15" customHeight="1" x14ac:dyDescent="0.2">
      <c r="A217" s="335" t="s">
        <v>1097</v>
      </c>
      <c r="B217" s="144" t="s">
        <v>859</v>
      </c>
      <c r="C217" s="377" t="s">
        <v>1098</v>
      </c>
      <c r="D217" s="413"/>
      <c r="E217" s="158">
        <v>0</v>
      </c>
      <c r="F217" s="209">
        <v>2000000</v>
      </c>
      <c r="G217" s="158">
        <v>2000000</v>
      </c>
      <c r="H217" s="136">
        <v>2000000</v>
      </c>
      <c r="I217" s="158">
        <v>349500</v>
      </c>
      <c r="J217" s="158">
        <v>0</v>
      </c>
    </row>
    <row r="218" spans="1:10" ht="15" customHeight="1" x14ac:dyDescent="0.2">
      <c r="A218" s="335" t="s">
        <v>1099</v>
      </c>
      <c r="B218" s="144" t="s">
        <v>859</v>
      </c>
      <c r="C218" s="377" t="s">
        <v>1100</v>
      </c>
      <c r="D218" s="413"/>
      <c r="E218" s="158">
        <v>0</v>
      </c>
      <c r="F218" s="209">
        <v>265000</v>
      </c>
      <c r="G218" s="158">
        <v>265000</v>
      </c>
      <c r="H218" s="136">
        <v>0</v>
      </c>
      <c r="I218" s="158">
        <v>0</v>
      </c>
      <c r="J218" s="158">
        <v>0</v>
      </c>
    </row>
    <row r="219" spans="1:10" ht="15" customHeight="1" x14ac:dyDescent="0.2">
      <c r="A219" s="335" t="s">
        <v>1101</v>
      </c>
      <c r="B219" s="144" t="s">
        <v>859</v>
      </c>
      <c r="C219" s="377" t="s">
        <v>1102</v>
      </c>
      <c r="D219" s="413"/>
      <c r="E219" s="158">
        <v>0</v>
      </c>
      <c r="F219" s="209">
        <v>1000000</v>
      </c>
      <c r="G219" s="158">
        <v>800000</v>
      </c>
      <c r="H219" s="136">
        <v>0</v>
      </c>
      <c r="I219" s="158">
        <v>0</v>
      </c>
      <c r="J219" s="158">
        <v>0</v>
      </c>
    </row>
    <row r="220" spans="1:10" ht="15" customHeight="1" x14ac:dyDescent="0.2">
      <c r="A220" s="335" t="s">
        <v>1103</v>
      </c>
      <c r="B220" s="144" t="s">
        <v>633</v>
      </c>
      <c r="C220" s="377" t="s">
        <v>1104</v>
      </c>
      <c r="D220" s="413"/>
      <c r="E220" s="158">
        <v>0</v>
      </c>
      <c r="F220" s="209">
        <v>0</v>
      </c>
      <c r="G220" s="158">
        <v>0</v>
      </c>
      <c r="H220" s="136">
        <v>120000</v>
      </c>
      <c r="I220" s="158">
        <v>0</v>
      </c>
      <c r="J220" s="158">
        <v>0</v>
      </c>
    </row>
    <row r="221" spans="1:10" ht="15" customHeight="1" x14ac:dyDescent="0.2">
      <c r="A221" s="137" t="s">
        <v>15</v>
      </c>
      <c r="B221" s="137"/>
      <c r="C221" s="137"/>
      <c r="D221" s="137"/>
      <c r="E221" s="138">
        <f t="shared" ref="E221:J221" si="49">SUM(E200:E220)</f>
        <v>21481762.489999998</v>
      </c>
      <c r="F221" s="138">
        <f t="shared" si="49"/>
        <v>25509200</v>
      </c>
      <c r="G221" s="138">
        <f t="shared" si="49"/>
        <v>26205500</v>
      </c>
      <c r="H221" s="138">
        <f t="shared" si="49"/>
        <v>15034800</v>
      </c>
      <c r="I221" s="138">
        <f t="shared" si="49"/>
        <v>849500</v>
      </c>
      <c r="J221" s="138">
        <f t="shared" si="49"/>
        <v>0</v>
      </c>
    </row>
    <row r="222" spans="1:10" x14ac:dyDescent="0.2">
      <c r="A222" s="290"/>
      <c r="B222" s="290"/>
      <c r="C222" s="290"/>
      <c r="D222" s="290"/>
      <c r="E222" s="290"/>
      <c r="F222" s="290"/>
      <c r="G222" s="290"/>
      <c r="H222" s="290"/>
      <c r="I222" s="290"/>
      <c r="J222" s="290"/>
    </row>
    <row r="223" spans="1:10" x14ac:dyDescent="0.2">
      <c r="A223" s="161" t="s">
        <v>288</v>
      </c>
      <c r="B223" s="161"/>
      <c r="C223" s="161"/>
      <c r="D223" s="161"/>
      <c r="E223" s="161"/>
      <c r="F223" s="202"/>
      <c r="G223" s="202"/>
      <c r="H223" s="202"/>
      <c r="I223" s="202"/>
      <c r="J223" s="202"/>
    </row>
    <row r="224" spans="1:10" x14ac:dyDescent="0.2">
      <c r="A224" s="131" t="s">
        <v>300</v>
      </c>
      <c r="B224" s="131"/>
      <c r="C224" s="131"/>
      <c r="D224" s="132" t="s">
        <v>301</v>
      </c>
      <c r="E224" s="132" t="s">
        <v>302</v>
      </c>
      <c r="F224" s="131" t="s">
        <v>300</v>
      </c>
      <c r="G224" s="131"/>
      <c r="H224" s="131"/>
      <c r="I224" s="132" t="s">
        <v>301</v>
      </c>
      <c r="J224" s="132" t="s">
        <v>302</v>
      </c>
    </row>
    <row r="225" spans="1:10" ht="14.25" customHeight="1" x14ac:dyDescent="0.2">
      <c r="A225" s="134" t="str">
        <f>Establishment!D233</f>
        <v>Budget Director</v>
      </c>
      <c r="B225" s="134"/>
      <c r="C225" s="134"/>
      <c r="D225" s="133" t="str">
        <f>Establishment!E233</f>
        <v>R7</v>
      </c>
      <c r="E225" s="133">
        <f>Establishment!C233</f>
        <v>1</v>
      </c>
      <c r="F225" s="134" t="str">
        <f>Establishment!D237</f>
        <v>Project Officer I</v>
      </c>
      <c r="G225" s="134"/>
      <c r="H225" s="134"/>
      <c r="I225" s="133" t="str">
        <f>Establishment!E237</f>
        <v>R22-16/17-13</v>
      </c>
      <c r="J225" s="133">
        <f>Establishment!C237</f>
        <v>1</v>
      </c>
    </row>
    <row r="226" spans="1:10" ht="14.25" customHeight="1" x14ac:dyDescent="0.2">
      <c r="A226" s="134" t="str">
        <f>Establishment!D234</f>
        <v>Director, Economic Management</v>
      </c>
      <c r="B226" s="134"/>
      <c r="C226" s="134"/>
      <c r="D226" s="133" t="str">
        <f>Establishment!E234</f>
        <v>R7</v>
      </c>
      <c r="E226" s="133">
        <f>Establishment!C234</f>
        <v>1</v>
      </c>
      <c r="F226" s="134" t="str">
        <f>Establishment!D238</f>
        <v>Project Officer II</v>
      </c>
      <c r="G226" s="134"/>
      <c r="H226" s="134"/>
      <c r="I226" s="133" t="str">
        <f>Establishment!E238</f>
        <v>R22-16</v>
      </c>
      <c r="J226" s="133">
        <f>Establishment!C238</f>
        <v>1</v>
      </c>
    </row>
    <row r="227" spans="1:10" ht="15" customHeight="1" x14ac:dyDescent="0.2">
      <c r="A227" s="134" t="str">
        <f>Establishment!D235</f>
        <v>Chief Economist (TC)</v>
      </c>
      <c r="B227" s="134"/>
      <c r="C227" s="134"/>
      <c r="D227" s="133" t="str">
        <f>Establishment!E235</f>
        <v>R17-13</v>
      </c>
      <c r="E227" s="133">
        <f>Establishment!C235</f>
        <v>1</v>
      </c>
      <c r="F227" s="134" t="str">
        <f>Establishment!D239</f>
        <v>Economist II</v>
      </c>
      <c r="G227" s="134"/>
      <c r="H227" s="134"/>
      <c r="I227" s="133" t="str">
        <f>Establishment!E239</f>
        <v>R22-16/17-13</v>
      </c>
      <c r="J227" s="133">
        <f>Establishment!C239</f>
        <v>1</v>
      </c>
    </row>
    <row r="228" spans="1:10" ht="15" customHeight="1" x14ac:dyDescent="0.2">
      <c r="A228" s="134" t="str">
        <f>Establishment!D236</f>
        <v>Budget Analyst</v>
      </c>
      <c r="B228" s="134"/>
      <c r="C228" s="134"/>
      <c r="D228" s="133" t="str">
        <f>Establishment!E236</f>
        <v>R22-16/17-13</v>
      </c>
      <c r="E228" s="133">
        <f>Establishment!C236</f>
        <v>2</v>
      </c>
      <c r="F228" s="134" t="str">
        <f>Establishment!D240</f>
        <v>Economist I</v>
      </c>
      <c r="G228" s="134"/>
      <c r="H228" s="134"/>
      <c r="I228" s="133" t="str">
        <f>Establishment!E240</f>
        <v>R28-22/22-16</v>
      </c>
      <c r="J228" s="133">
        <f>Establishment!C240</f>
        <v>0</v>
      </c>
    </row>
    <row r="229" spans="1:10" ht="14.25" customHeight="1" x14ac:dyDescent="0.2">
      <c r="A229" s="203" t="s">
        <v>303</v>
      </c>
      <c r="B229" s="203"/>
      <c r="C229" s="203"/>
      <c r="D229" s="203"/>
      <c r="E229" s="203"/>
      <c r="F229" s="203"/>
      <c r="G229" s="203"/>
      <c r="H229" s="203"/>
      <c r="I229" s="203"/>
      <c r="J229" s="204">
        <f>SUM(E225:E228,J225:J228)</f>
        <v>8</v>
      </c>
    </row>
    <row r="230" spans="1:10" ht="15" customHeight="1" x14ac:dyDescent="0.2">
      <c r="A230" s="129"/>
      <c r="B230" s="129"/>
      <c r="C230" s="129"/>
      <c r="D230" s="129"/>
      <c r="E230" s="129"/>
      <c r="F230" s="179"/>
      <c r="G230" s="179"/>
      <c r="H230" s="179"/>
      <c r="I230" s="179"/>
      <c r="J230" s="179"/>
    </row>
    <row r="231" spans="1:10" s="418" customFormat="1" ht="15" customHeight="1" x14ac:dyDescent="0.2">
      <c r="A231" s="180" t="s">
        <v>304</v>
      </c>
      <c r="B231" s="180"/>
      <c r="C231" s="180"/>
      <c r="D231" s="180"/>
      <c r="E231" s="180"/>
      <c r="F231" s="180"/>
      <c r="G231" s="180"/>
      <c r="H231" s="180"/>
      <c r="I231" s="180"/>
      <c r="J231" s="180"/>
    </row>
    <row r="232" spans="1:10" s="418" customFormat="1" ht="11.25" x14ac:dyDescent="0.2">
      <c r="A232" s="181" t="s">
        <v>305</v>
      </c>
      <c r="B232" s="181"/>
      <c r="C232" s="181"/>
      <c r="D232" s="181"/>
      <c r="E232" s="181"/>
      <c r="F232" s="181"/>
      <c r="G232" s="181"/>
      <c r="H232" s="181"/>
      <c r="I232" s="181"/>
      <c r="J232" s="181"/>
    </row>
    <row r="233" spans="1:10" x14ac:dyDescent="0.2">
      <c r="A233" s="419" t="s">
        <v>1105</v>
      </c>
      <c r="B233" s="420"/>
      <c r="C233" s="420"/>
      <c r="D233" s="420"/>
      <c r="E233" s="420"/>
      <c r="F233" s="420"/>
      <c r="G233" s="420"/>
      <c r="H233" s="420"/>
      <c r="I233" s="420"/>
      <c r="J233" s="421"/>
    </row>
    <row r="234" spans="1:10" ht="24" customHeight="1" x14ac:dyDescent="0.2">
      <c r="A234" s="419" t="s">
        <v>1106</v>
      </c>
      <c r="B234" s="420"/>
      <c r="C234" s="420"/>
      <c r="D234" s="420"/>
      <c r="E234" s="420"/>
      <c r="F234" s="420"/>
      <c r="G234" s="420"/>
      <c r="H234" s="420"/>
      <c r="I234" s="420"/>
      <c r="J234" s="421"/>
    </row>
    <row r="235" spans="1:10" x14ac:dyDescent="0.2">
      <c r="A235" s="419" t="s">
        <v>1107</v>
      </c>
      <c r="B235" s="420"/>
      <c r="C235" s="420"/>
      <c r="D235" s="420"/>
      <c r="E235" s="420"/>
      <c r="F235" s="420"/>
      <c r="G235" s="420"/>
      <c r="H235" s="420"/>
      <c r="I235" s="420"/>
      <c r="J235" s="421"/>
    </row>
    <row r="236" spans="1:10" ht="23.25" customHeight="1" x14ac:dyDescent="0.2">
      <c r="A236" s="419" t="s">
        <v>1108</v>
      </c>
      <c r="B236" s="420"/>
      <c r="C236" s="420"/>
      <c r="D236" s="420"/>
      <c r="E236" s="420"/>
      <c r="F236" s="420"/>
      <c r="G236" s="420"/>
      <c r="H236" s="420"/>
      <c r="I236" s="420"/>
      <c r="J236" s="421"/>
    </row>
    <row r="237" spans="1:10" ht="23.25" customHeight="1" x14ac:dyDescent="0.2">
      <c r="A237" s="419" t="s">
        <v>1109</v>
      </c>
      <c r="B237" s="420"/>
      <c r="C237" s="420"/>
      <c r="D237" s="420"/>
      <c r="E237" s="420"/>
      <c r="F237" s="420"/>
      <c r="G237" s="420"/>
      <c r="H237" s="420"/>
      <c r="I237" s="420"/>
      <c r="J237" s="421"/>
    </row>
    <row r="238" spans="1:10" ht="23.25" customHeight="1" x14ac:dyDescent="0.2">
      <c r="A238" s="419" t="s">
        <v>1110</v>
      </c>
      <c r="B238" s="420"/>
      <c r="C238" s="420"/>
      <c r="D238" s="420"/>
      <c r="E238" s="420"/>
      <c r="F238" s="420"/>
      <c r="G238" s="420"/>
      <c r="H238" s="420"/>
      <c r="I238" s="420"/>
      <c r="J238" s="421"/>
    </row>
    <row r="239" spans="1:10" ht="15" customHeight="1" x14ac:dyDescent="0.2">
      <c r="A239" s="129"/>
      <c r="B239" s="129"/>
      <c r="C239" s="129"/>
      <c r="D239" s="129"/>
      <c r="E239" s="129"/>
      <c r="F239" s="129"/>
      <c r="G239" s="129"/>
      <c r="H239" s="129"/>
      <c r="I239" s="129"/>
      <c r="J239" s="129"/>
    </row>
    <row r="240" spans="1:10" x14ac:dyDescent="0.2">
      <c r="A240" s="183" t="s">
        <v>415</v>
      </c>
      <c r="B240" s="183"/>
      <c r="C240" s="183"/>
      <c r="D240" s="183"/>
      <c r="E240" s="183"/>
      <c r="F240" s="183"/>
      <c r="G240" s="183"/>
      <c r="H240" s="183"/>
      <c r="I240" s="183"/>
      <c r="J240" s="183"/>
    </row>
    <row r="241" spans="1:10" x14ac:dyDescent="0.2">
      <c r="A241" s="129"/>
      <c r="B241" s="129"/>
      <c r="C241" s="129"/>
      <c r="D241" s="129"/>
      <c r="E241" s="129"/>
      <c r="F241" s="129"/>
      <c r="G241" s="129"/>
      <c r="H241" s="129"/>
      <c r="I241" s="129"/>
      <c r="J241" s="129"/>
    </row>
    <row r="242" spans="1:10" x14ac:dyDescent="0.2">
      <c r="A242" s="129"/>
      <c r="B242" s="129"/>
      <c r="C242" s="129"/>
      <c r="D242" s="129"/>
      <c r="E242" s="129"/>
      <c r="F242" s="129"/>
      <c r="G242" s="129"/>
      <c r="H242" s="129"/>
      <c r="I242" s="129"/>
      <c r="J242" s="129"/>
    </row>
    <row r="243" spans="1:10" ht="22.5" x14ac:dyDescent="0.2">
      <c r="A243" s="180" t="s">
        <v>315</v>
      </c>
      <c r="B243" s="180"/>
      <c r="C243" s="180"/>
      <c r="D243" s="180"/>
      <c r="E243" s="180"/>
      <c r="F243" s="184" t="str">
        <f>F146</f>
        <v xml:space="preserve"> Actual 2014-2015</v>
      </c>
      <c r="G243" s="184" t="str">
        <f>G146</f>
        <v xml:space="preserve"> Estimate 2015-2016</v>
      </c>
      <c r="H243" s="184" t="str">
        <f>H146</f>
        <v xml:space="preserve"> Target 2016-2017</v>
      </c>
      <c r="I243" s="184" t="str">
        <f>I146</f>
        <v xml:space="preserve"> Target 2017-2018</v>
      </c>
      <c r="J243" s="184" t="str">
        <f>J146</f>
        <v xml:space="preserve"> Target 2018-2019</v>
      </c>
    </row>
    <row r="244" spans="1:10" x14ac:dyDescent="0.2">
      <c r="A244" s="180" t="s">
        <v>316</v>
      </c>
      <c r="B244" s="180"/>
      <c r="C244" s="180"/>
      <c r="D244" s="180"/>
      <c r="E244" s="180"/>
      <c r="F244" s="180"/>
      <c r="G244" s="180"/>
      <c r="H244" s="180"/>
      <c r="I244" s="180"/>
      <c r="J244" s="180"/>
    </row>
    <row r="245" spans="1:10" x14ac:dyDescent="0.2">
      <c r="A245" s="414" t="s">
        <v>1111</v>
      </c>
      <c r="B245" s="414"/>
      <c r="C245" s="414"/>
      <c r="D245" s="414"/>
      <c r="E245" s="414"/>
      <c r="F245" s="272">
        <v>0</v>
      </c>
      <c r="G245" s="272">
        <v>0</v>
      </c>
      <c r="H245" s="272">
        <v>1</v>
      </c>
      <c r="I245" s="272" t="s">
        <v>480</v>
      </c>
      <c r="J245" s="272" t="s">
        <v>480</v>
      </c>
    </row>
    <row r="246" spans="1:10" x14ac:dyDescent="0.2">
      <c r="A246" s="414" t="s">
        <v>1112</v>
      </c>
      <c r="B246" s="414"/>
      <c r="C246" s="414"/>
      <c r="D246" s="414"/>
      <c r="E246" s="414"/>
      <c r="F246" s="272">
        <v>4</v>
      </c>
      <c r="G246" s="272">
        <v>4</v>
      </c>
      <c r="H246" s="272">
        <v>4</v>
      </c>
      <c r="I246" s="272">
        <v>4</v>
      </c>
      <c r="J246" s="272">
        <v>4</v>
      </c>
    </row>
    <row r="247" spans="1:10" x14ac:dyDescent="0.2">
      <c r="A247" s="414" t="s">
        <v>1113</v>
      </c>
      <c r="B247" s="414"/>
      <c r="C247" s="414"/>
      <c r="D247" s="414"/>
      <c r="E247" s="414"/>
      <c r="F247" s="272">
        <v>0</v>
      </c>
      <c r="G247" s="272">
        <v>0</v>
      </c>
      <c r="H247" s="272">
        <v>2</v>
      </c>
      <c r="I247" s="272">
        <v>4</v>
      </c>
      <c r="J247" s="272">
        <v>6</v>
      </c>
    </row>
    <row r="248" spans="1:10" ht="21" customHeight="1" x14ac:dyDescent="0.2">
      <c r="A248" s="180" t="s">
        <v>324</v>
      </c>
      <c r="B248" s="180"/>
      <c r="C248" s="180"/>
      <c r="D248" s="180"/>
      <c r="E248" s="180"/>
      <c r="F248" s="180"/>
      <c r="G248" s="180"/>
      <c r="H248" s="180"/>
      <c r="I248" s="180"/>
      <c r="J248" s="180"/>
    </row>
    <row r="249" spans="1:10" x14ac:dyDescent="0.2">
      <c r="A249" s="422" t="s">
        <v>1114</v>
      </c>
      <c r="B249" s="423"/>
      <c r="C249" s="423"/>
      <c r="D249" s="423"/>
      <c r="E249" s="424"/>
      <c r="F249" s="272" t="s">
        <v>480</v>
      </c>
      <c r="G249" s="272" t="s">
        <v>480</v>
      </c>
      <c r="H249" s="272">
        <v>1</v>
      </c>
      <c r="I249" s="272" t="s">
        <v>480</v>
      </c>
      <c r="J249" s="272" t="s">
        <v>480</v>
      </c>
    </row>
    <row r="250" spans="1:10" x14ac:dyDescent="0.2">
      <c r="A250" s="414" t="s">
        <v>1115</v>
      </c>
      <c r="B250" s="414"/>
      <c r="C250" s="414"/>
      <c r="D250" s="414"/>
      <c r="E250" s="414"/>
      <c r="F250" s="270">
        <v>1</v>
      </c>
      <c r="G250" s="270">
        <v>1</v>
      </c>
      <c r="H250" s="270">
        <v>1</v>
      </c>
      <c r="I250" s="270">
        <v>1</v>
      </c>
      <c r="J250" s="270">
        <v>1</v>
      </c>
    </row>
    <row r="251" spans="1:10" x14ac:dyDescent="0.2">
      <c r="A251" s="414" t="s">
        <v>1116</v>
      </c>
      <c r="B251" s="414"/>
      <c r="C251" s="414"/>
      <c r="D251" s="414"/>
      <c r="E251" s="414"/>
      <c r="F251" s="272">
        <v>0</v>
      </c>
      <c r="G251" s="272">
        <v>0</v>
      </c>
      <c r="H251" s="272">
        <v>2</v>
      </c>
      <c r="I251" s="272">
        <v>4</v>
      </c>
      <c r="J251" s="272">
        <v>6</v>
      </c>
    </row>
    <row r="252" spans="1:10" ht="15" customHeight="1" x14ac:dyDescent="0.2">
      <c r="A252" s="129"/>
      <c r="B252" s="129"/>
      <c r="C252" s="129"/>
      <c r="D252" s="129"/>
      <c r="E252" s="129"/>
      <c r="F252" s="129"/>
      <c r="G252" s="129"/>
      <c r="H252" s="129"/>
      <c r="I252" s="129"/>
      <c r="J252" s="129"/>
    </row>
    <row r="253" spans="1:10" x14ac:dyDescent="0.2">
      <c r="A253" s="150" t="s">
        <v>1117</v>
      </c>
      <c r="B253" s="150"/>
      <c r="C253" s="150"/>
      <c r="D253" s="150"/>
      <c r="E253" s="150"/>
      <c r="F253" s="150"/>
      <c r="G253" s="150"/>
      <c r="H253" s="150"/>
      <c r="I253" s="150"/>
      <c r="J253" s="150"/>
    </row>
    <row r="254" spans="1:10" x14ac:dyDescent="0.2">
      <c r="A254" s="151" t="s">
        <v>291</v>
      </c>
      <c r="B254" s="151"/>
      <c r="C254" s="151"/>
      <c r="D254" s="101"/>
      <c r="E254" s="101"/>
      <c r="F254" s="101"/>
      <c r="G254" s="101"/>
      <c r="H254" s="101"/>
      <c r="I254" s="101"/>
      <c r="J254" s="101"/>
    </row>
    <row r="255" spans="1:10" ht="24.75" customHeight="1" x14ac:dyDescent="0.2">
      <c r="A255" s="129" t="s">
        <v>1118</v>
      </c>
      <c r="B255" s="129"/>
      <c r="C255" s="129"/>
      <c r="D255" s="129"/>
      <c r="E255" s="129"/>
      <c r="F255" s="129"/>
      <c r="G255" s="129"/>
      <c r="H255" s="129"/>
      <c r="I255" s="129"/>
      <c r="J255" s="129"/>
    </row>
    <row r="256" spans="1:10" x14ac:dyDescent="0.2">
      <c r="A256" s="128" t="s">
        <v>293</v>
      </c>
      <c r="B256" s="128"/>
      <c r="C256" s="128"/>
      <c r="D256" s="128"/>
      <c r="E256" s="128"/>
      <c r="F256" s="128"/>
      <c r="G256" s="128"/>
      <c r="H256" s="128"/>
      <c r="I256" s="128"/>
      <c r="J256" s="128"/>
    </row>
    <row r="257" spans="1:10" ht="33.75" x14ac:dyDescent="0.2">
      <c r="A257" s="152" t="s">
        <v>243</v>
      </c>
      <c r="B257" s="151" t="s">
        <v>242</v>
      </c>
      <c r="C257" s="151"/>
      <c r="D257" s="151"/>
      <c r="E257" s="132" t="str">
        <f t="shared" ref="E257:J257" si="50">E24</f>
        <v>Actuals           2014-2015</v>
      </c>
      <c r="F257" s="132" t="str">
        <f t="shared" si="50"/>
        <v>Approved Estimates          2015-2016</v>
      </c>
      <c r="G257" s="132" t="str">
        <f t="shared" si="50"/>
        <v>Revised Estimates                 2015-2016</v>
      </c>
      <c r="H257" s="132" t="str">
        <f t="shared" si="50"/>
        <v>Budget Estimates      2016-2017</v>
      </c>
      <c r="I257" s="132" t="str">
        <f t="shared" si="50"/>
        <v>Forward Estimates     2017-2018</v>
      </c>
      <c r="J257" s="132" t="str">
        <f t="shared" si="50"/>
        <v>Forward Estimates     2018-2019</v>
      </c>
    </row>
    <row r="258" spans="1:10" x14ac:dyDescent="0.2">
      <c r="A258" s="152"/>
      <c r="B258" s="129"/>
      <c r="C258" s="101"/>
      <c r="D258" s="101"/>
      <c r="E258" s="211"/>
      <c r="F258" s="209"/>
      <c r="G258" s="211"/>
      <c r="H258" s="210"/>
      <c r="I258" s="211"/>
      <c r="J258" s="211"/>
    </row>
    <row r="259" spans="1:10" ht="15" customHeight="1" x14ac:dyDescent="0.2">
      <c r="A259" s="137" t="s">
        <v>1027</v>
      </c>
      <c r="B259" s="137"/>
      <c r="C259" s="137"/>
      <c r="D259" s="137"/>
      <c r="E259" s="138">
        <f t="shared" ref="E259:J259" si="51">SUM(E258:E258)</f>
        <v>0</v>
      </c>
      <c r="F259" s="138">
        <f t="shared" si="51"/>
        <v>0</v>
      </c>
      <c r="G259" s="138">
        <f t="shared" si="51"/>
        <v>0</v>
      </c>
      <c r="H259" s="138">
        <f t="shared" si="51"/>
        <v>0</v>
      </c>
      <c r="I259" s="138">
        <f t="shared" si="51"/>
        <v>0</v>
      </c>
      <c r="J259" s="138">
        <f t="shared" si="51"/>
        <v>0</v>
      </c>
    </row>
    <row r="260" spans="1:10" x14ac:dyDescent="0.2">
      <c r="A260" s="129"/>
      <c r="B260" s="129"/>
      <c r="C260" s="129"/>
      <c r="D260" s="129"/>
      <c r="E260" s="129"/>
      <c r="F260" s="129"/>
      <c r="G260" s="129"/>
      <c r="H260" s="129"/>
      <c r="I260" s="129"/>
      <c r="J260" s="129"/>
    </row>
    <row r="261" spans="1:10" ht="15" customHeight="1" x14ac:dyDescent="0.2">
      <c r="A261" s="128" t="s">
        <v>284</v>
      </c>
      <c r="B261" s="128"/>
      <c r="C261" s="128"/>
      <c r="D261" s="128"/>
      <c r="E261" s="128"/>
      <c r="F261" s="128"/>
      <c r="G261" s="128"/>
      <c r="H261" s="128"/>
      <c r="I261" s="128"/>
      <c r="J261" s="128"/>
    </row>
    <row r="262" spans="1:10" ht="33.75" x14ac:dyDescent="0.2">
      <c r="A262" s="152" t="s">
        <v>243</v>
      </c>
      <c r="B262" s="151" t="s">
        <v>242</v>
      </c>
      <c r="C262" s="151"/>
      <c r="D262" s="151"/>
      <c r="E262" s="132" t="str">
        <f t="shared" ref="E262:J262" si="52">E24</f>
        <v>Actuals           2014-2015</v>
      </c>
      <c r="F262" s="132" t="str">
        <f t="shared" si="52"/>
        <v>Approved Estimates          2015-2016</v>
      </c>
      <c r="G262" s="132" t="str">
        <f t="shared" si="52"/>
        <v>Revised Estimates                 2015-2016</v>
      </c>
      <c r="H262" s="132" t="str">
        <f t="shared" si="52"/>
        <v>Budget Estimates      2016-2017</v>
      </c>
      <c r="I262" s="132" t="str">
        <f t="shared" si="52"/>
        <v>Forward Estimates     2017-2018</v>
      </c>
      <c r="J262" s="132" t="str">
        <f t="shared" si="52"/>
        <v>Forward Estimates     2018-2019</v>
      </c>
    </row>
    <row r="263" spans="1:10" x14ac:dyDescent="0.2">
      <c r="A263" s="151" t="s">
        <v>7</v>
      </c>
      <c r="B263" s="151"/>
      <c r="C263" s="151"/>
      <c r="D263" s="151"/>
      <c r="E263" s="151"/>
      <c r="F263" s="151"/>
      <c r="G263" s="151"/>
      <c r="H263" s="151"/>
      <c r="I263" s="151"/>
      <c r="J263" s="190"/>
    </row>
    <row r="264" spans="1:10" x14ac:dyDescent="0.2">
      <c r="A264" s="207">
        <v>210</v>
      </c>
      <c r="B264" s="129" t="s">
        <v>7</v>
      </c>
      <c r="C264" s="101"/>
      <c r="D264" s="101"/>
      <c r="E264" s="211">
        <v>294175.46999999997</v>
      </c>
      <c r="F264" s="211">
        <v>381000</v>
      </c>
      <c r="G264" s="211">
        <v>360300</v>
      </c>
      <c r="H264" s="210">
        <v>356600</v>
      </c>
      <c r="I264" s="425">
        <v>385700</v>
      </c>
      <c r="J264" s="425">
        <v>390400</v>
      </c>
    </row>
    <row r="265" spans="1:10" x14ac:dyDescent="0.2">
      <c r="A265" s="207">
        <v>212</v>
      </c>
      <c r="B265" s="129" t="s">
        <v>9</v>
      </c>
      <c r="C265" s="101"/>
      <c r="D265" s="101"/>
      <c r="E265" s="211">
        <v>0</v>
      </c>
      <c r="F265" s="211">
        <v>0</v>
      </c>
      <c r="G265" s="211">
        <v>0</v>
      </c>
      <c r="H265" s="210">
        <v>0</v>
      </c>
      <c r="I265" s="425">
        <v>0</v>
      </c>
      <c r="J265" s="425">
        <v>0</v>
      </c>
    </row>
    <row r="266" spans="1:10" x14ac:dyDescent="0.2">
      <c r="A266" s="207">
        <v>216</v>
      </c>
      <c r="B266" s="129" t="s">
        <v>10</v>
      </c>
      <c r="C266" s="101"/>
      <c r="D266" s="101"/>
      <c r="E266" s="211">
        <v>45489</v>
      </c>
      <c r="F266" s="211">
        <v>42800</v>
      </c>
      <c r="G266" s="211">
        <v>52000</v>
      </c>
      <c r="H266" s="210">
        <v>42800</v>
      </c>
      <c r="I266" s="425">
        <v>42800</v>
      </c>
      <c r="J266" s="425">
        <v>42800</v>
      </c>
    </row>
    <row r="267" spans="1:10" x14ac:dyDescent="0.2">
      <c r="A267" s="207">
        <v>218</v>
      </c>
      <c r="B267" s="129" t="s">
        <v>294</v>
      </c>
      <c r="C267" s="101"/>
      <c r="D267" s="101"/>
      <c r="E267" s="211">
        <v>0</v>
      </c>
      <c r="F267" s="211">
        <v>0</v>
      </c>
      <c r="G267" s="211">
        <v>0</v>
      </c>
      <c r="H267" s="210">
        <v>0</v>
      </c>
      <c r="I267" s="425">
        <v>0</v>
      </c>
      <c r="J267" s="425">
        <v>0</v>
      </c>
    </row>
    <row r="268" spans="1:10" ht="15" customHeight="1" x14ac:dyDescent="0.2">
      <c r="A268" s="196" t="s">
        <v>295</v>
      </c>
      <c r="B268" s="196"/>
      <c r="C268" s="196"/>
      <c r="D268" s="196"/>
      <c r="E268" s="197">
        <f t="shared" ref="E268:J268" si="53">SUM(E264:E267)</f>
        <v>339664.47</v>
      </c>
      <c r="F268" s="197">
        <f t="shared" si="53"/>
        <v>423800</v>
      </c>
      <c r="G268" s="197">
        <f t="shared" si="53"/>
        <v>412300</v>
      </c>
      <c r="H268" s="197">
        <f t="shared" si="53"/>
        <v>399400</v>
      </c>
      <c r="I268" s="197">
        <f t="shared" si="53"/>
        <v>428500</v>
      </c>
      <c r="J268" s="197">
        <f t="shared" si="53"/>
        <v>433200</v>
      </c>
    </row>
    <row r="269" spans="1:10" ht="15" customHeight="1" x14ac:dyDescent="0.2">
      <c r="A269" s="193" t="s">
        <v>296</v>
      </c>
      <c r="B269" s="194"/>
      <c r="C269" s="194"/>
      <c r="D269" s="194"/>
      <c r="E269" s="194"/>
      <c r="F269" s="194"/>
      <c r="G269" s="194"/>
      <c r="H269" s="194"/>
      <c r="I269" s="194"/>
      <c r="J269" s="195"/>
    </row>
    <row r="270" spans="1:10" ht="14.25" customHeight="1" x14ac:dyDescent="0.2">
      <c r="A270" s="207">
        <v>222</v>
      </c>
      <c r="B270" s="381" t="s">
        <v>205</v>
      </c>
      <c r="C270" s="382"/>
      <c r="D270" s="383"/>
      <c r="E270" s="211">
        <v>6258.56</v>
      </c>
      <c r="F270" s="211">
        <v>10000</v>
      </c>
      <c r="G270" s="211">
        <v>5000</v>
      </c>
      <c r="H270" s="210">
        <v>20000</v>
      </c>
      <c r="I270" s="211">
        <v>20000</v>
      </c>
      <c r="J270" s="211">
        <v>20000</v>
      </c>
    </row>
    <row r="271" spans="1:10" ht="14.25" customHeight="1" x14ac:dyDescent="0.2">
      <c r="A271" s="207">
        <v>224</v>
      </c>
      <c r="B271" s="381" t="s">
        <v>206</v>
      </c>
      <c r="C271" s="382"/>
      <c r="D271" s="383"/>
      <c r="E271" s="211">
        <v>15896.69</v>
      </c>
      <c r="F271" s="211">
        <v>27000</v>
      </c>
      <c r="G271" s="211">
        <v>24400</v>
      </c>
      <c r="H271" s="210">
        <f>27000-1500</f>
        <v>25500</v>
      </c>
      <c r="I271" s="211">
        <f t="shared" ref="I271:J271" si="54">27000-1500</f>
        <v>25500</v>
      </c>
      <c r="J271" s="211">
        <f t="shared" si="54"/>
        <v>25500</v>
      </c>
    </row>
    <row r="272" spans="1:10" ht="14.25" customHeight="1" x14ac:dyDescent="0.2">
      <c r="A272" s="207">
        <v>226</v>
      </c>
      <c r="B272" s="381" t="s">
        <v>207</v>
      </c>
      <c r="C272" s="382"/>
      <c r="D272" s="383"/>
      <c r="E272" s="211">
        <v>5236.7</v>
      </c>
      <c r="F272" s="211">
        <v>8000</v>
      </c>
      <c r="G272" s="211">
        <v>12000</v>
      </c>
      <c r="H272" s="210">
        <v>8000</v>
      </c>
      <c r="I272" s="211">
        <v>8000</v>
      </c>
      <c r="J272" s="211">
        <v>8000</v>
      </c>
    </row>
    <row r="273" spans="1:10" ht="14.25" customHeight="1" x14ac:dyDescent="0.2">
      <c r="A273" s="207">
        <v>228</v>
      </c>
      <c r="B273" s="381" t="s">
        <v>208</v>
      </c>
      <c r="C273" s="382"/>
      <c r="D273" s="383"/>
      <c r="E273" s="211">
        <v>5334.08</v>
      </c>
      <c r="F273" s="211">
        <v>7000</v>
      </c>
      <c r="G273" s="211">
        <v>7000</v>
      </c>
      <c r="H273" s="210">
        <v>10000</v>
      </c>
      <c r="I273" s="211">
        <v>10000</v>
      </c>
      <c r="J273" s="211">
        <v>10000</v>
      </c>
    </row>
    <row r="274" spans="1:10" ht="14.25" customHeight="1" x14ac:dyDescent="0.2">
      <c r="A274" s="207">
        <v>229</v>
      </c>
      <c r="B274" s="381" t="s">
        <v>1119</v>
      </c>
      <c r="C274" s="382"/>
      <c r="D274" s="383"/>
      <c r="E274" s="211">
        <v>355</v>
      </c>
      <c r="F274" s="211">
        <v>6500</v>
      </c>
      <c r="G274" s="211">
        <v>6500</v>
      </c>
      <c r="H274" s="210">
        <v>6500</v>
      </c>
      <c r="I274" s="211">
        <v>6500</v>
      </c>
      <c r="J274" s="211">
        <v>6500</v>
      </c>
    </row>
    <row r="275" spans="1:10" ht="14.25" customHeight="1" x14ac:dyDescent="0.2">
      <c r="A275" s="207">
        <v>232</v>
      </c>
      <c r="B275" s="381" t="s">
        <v>211</v>
      </c>
      <c r="C275" s="382"/>
      <c r="D275" s="383"/>
      <c r="E275" s="211">
        <v>2408.14</v>
      </c>
      <c r="F275" s="211">
        <v>3200</v>
      </c>
      <c r="G275" s="211">
        <v>3200</v>
      </c>
      <c r="H275" s="210">
        <v>5000</v>
      </c>
      <c r="I275" s="211">
        <v>5000</v>
      </c>
      <c r="J275" s="211">
        <v>5000</v>
      </c>
    </row>
    <row r="276" spans="1:10" ht="14.25" customHeight="1" x14ac:dyDescent="0.2">
      <c r="A276" s="207">
        <v>236</v>
      </c>
      <c r="B276" s="381" t="s">
        <v>213</v>
      </c>
      <c r="C276" s="382"/>
      <c r="D276" s="383"/>
      <c r="E276" s="211">
        <v>72000</v>
      </c>
      <c r="F276" s="211">
        <v>9000</v>
      </c>
      <c r="G276" s="211">
        <v>72000</v>
      </c>
      <c r="H276" s="210">
        <v>9000</v>
      </c>
      <c r="I276" s="211">
        <v>9000</v>
      </c>
      <c r="J276" s="211">
        <v>9000</v>
      </c>
    </row>
    <row r="277" spans="1:10" ht="14.25" customHeight="1" x14ac:dyDescent="0.2">
      <c r="A277" s="207">
        <v>234</v>
      </c>
      <c r="B277" s="381" t="s">
        <v>212</v>
      </c>
      <c r="C277" s="382"/>
      <c r="D277" s="383"/>
      <c r="E277" s="211">
        <v>2182.6</v>
      </c>
      <c r="F277" s="211">
        <v>72000</v>
      </c>
      <c r="G277" s="211">
        <v>9200</v>
      </c>
      <c r="H277" s="210">
        <v>72000</v>
      </c>
      <c r="I277" s="211">
        <v>72000</v>
      </c>
      <c r="J277" s="211">
        <v>72000</v>
      </c>
    </row>
    <row r="278" spans="1:10" ht="14.25" customHeight="1" x14ac:dyDescent="0.2">
      <c r="A278" s="207">
        <v>246</v>
      </c>
      <c r="B278" s="381" t="s">
        <v>218</v>
      </c>
      <c r="C278" s="382"/>
      <c r="D278" s="383"/>
      <c r="E278" s="211">
        <v>500</v>
      </c>
      <c r="F278" s="211">
        <v>17000</v>
      </c>
      <c r="G278" s="211">
        <v>0</v>
      </c>
      <c r="H278" s="210">
        <v>15000</v>
      </c>
      <c r="I278" s="211">
        <v>15000</v>
      </c>
      <c r="J278" s="211">
        <v>15000</v>
      </c>
    </row>
    <row r="279" spans="1:10" ht="14.25" customHeight="1" x14ac:dyDescent="0.2">
      <c r="A279" s="207">
        <v>275</v>
      </c>
      <c r="B279" s="381" t="s">
        <v>228</v>
      </c>
      <c r="C279" s="382"/>
      <c r="D279" s="383"/>
      <c r="E279" s="211">
        <v>115</v>
      </c>
      <c r="F279" s="211">
        <v>185500</v>
      </c>
      <c r="G279" s="211">
        <v>60000</v>
      </c>
      <c r="H279" s="210">
        <v>195500</v>
      </c>
      <c r="I279" s="211">
        <v>195500</v>
      </c>
      <c r="J279" s="211">
        <v>195500</v>
      </c>
    </row>
    <row r="280" spans="1:10" ht="15" customHeight="1" x14ac:dyDescent="0.2">
      <c r="A280" s="156" t="s">
        <v>298</v>
      </c>
      <c r="B280" s="156"/>
      <c r="C280" s="156"/>
      <c r="D280" s="156"/>
      <c r="E280" s="157">
        <f t="shared" ref="E280:J280" si="55">SUM(E270:E279)</f>
        <v>110286.77</v>
      </c>
      <c r="F280" s="264">
        <f t="shared" si="55"/>
        <v>345200</v>
      </c>
      <c r="G280" s="157">
        <f t="shared" si="55"/>
        <v>199300</v>
      </c>
      <c r="H280" s="157">
        <f t="shared" si="55"/>
        <v>366500</v>
      </c>
      <c r="I280" s="157">
        <f t="shared" si="55"/>
        <v>366500</v>
      </c>
      <c r="J280" s="157">
        <f t="shared" si="55"/>
        <v>366500</v>
      </c>
    </row>
    <row r="281" spans="1:10" x14ac:dyDescent="0.2">
      <c r="A281" s="159" t="s">
        <v>299</v>
      </c>
      <c r="B281" s="159"/>
      <c r="C281" s="159"/>
      <c r="D281" s="159"/>
      <c r="E281" s="160">
        <f t="shared" ref="E281:J281" si="56">SUM(E268,E280)</f>
        <v>449951.24</v>
      </c>
      <c r="F281" s="160">
        <f t="shared" si="56"/>
        <v>769000</v>
      </c>
      <c r="G281" s="160">
        <f t="shared" si="56"/>
        <v>611600</v>
      </c>
      <c r="H281" s="160">
        <f t="shared" si="56"/>
        <v>765900</v>
      </c>
      <c r="I281" s="160">
        <f t="shared" si="56"/>
        <v>795000</v>
      </c>
      <c r="J281" s="160">
        <f t="shared" si="56"/>
        <v>799700</v>
      </c>
    </row>
    <row r="282" spans="1:10" x14ac:dyDescent="0.2">
      <c r="A282" s="129"/>
      <c r="B282" s="129"/>
      <c r="C282" s="129"/>
      <c r="D282" s="129"/>
      <c r="E282" s="129"/>
      <c r="F282" s="129"/>
      <c r="G282" s="129"/>
      <c r="H282" s="129"/>
      <c r="I282" s="129"/>
      <c r="J282" s="190"/>
    </row>
    <row r="283" spans="1:10" x14ac:dyDescent="0.2">
      <c r="A283" s="162" t="s">
        <v>15</v>
      </c>
      <c r="B283" s="162"/>
      <c r="C283" s="162"/>
      <c r="D283" s="162"/>
      <c r="E283" s="162"/>
      <c r="F283" s="162"/>
      <c r="G283" s="162"/>
      <c r="H283" s="162"/>
      <c r="I283" s="162"/>
      <c r="J283" s="162"/>
    </row>
    <row r="284" spans="1:10" ht="20.25" customHeight="1" x14ac:dyDescent="0.2">
      <c r="A284" s="131" t="s">
        <v>242</v>
      </c>
      <c r="B284" s="131"/>
      <c r="C284" s="131"/>
      <c r="D284" s="131"/>
      <c r="E284" s="128" t="str">
        <f t="shared" ref="E284:J284" si="57">E24</f>
        <v>Actuals           2014-2015</v>
      </c>
      <c r="F284" s="128" t="str">
        <f t="shared" si="57"/>
        <v>Approved Estimates          2015-2016</v>
      </c>
      <c r="G284" s="128" t="str">
        <f t="shared" si="57"/>
        <v>Revised Estimates                 2015-2016</v>
      </c>
      <c r="H284" s="128" t="str">
        <f t="shared" si="57"/>
        <v>Budget Estimates      2016-2017</v>
      </c>
      <c r="I284" s="128" t="str">
        <f t="shared" si="57"/>
        <v>Forward Estimates     2017-2018</v>
      </c>
      <c r="J284" s="128" t="str">
        <f t="shared" si="57"/>
        <v>Forward Estimates     2018-2019</v>
      </c>
    </row>
    <row r="285" spans="1:10" x14ac:dyDescent="0.2">
      <c r="A285" s="130" t="s">
        <v>243</v>
      </c>
      <c r="B285" s="130" t="s">
        <v>244</v>
      </c>
      <c r="C285" s="131" t="s">
        <v>245</v>
      </c>
      <c r="D285" s="131"/>
      <c r="E285" s="101"/>
      <c r="F285" s="101"/>
      <c r="G285" s="101"/>
      <c r="H285" s="101"/>
      <c r="I285" s="101"/>
      <c r="J285" s="101"/>
    </row>
    <row r="286" spans="1:10" ht="15" customHeight="1" x14ac:dyDescent="0.2">
      <c r="A286" s="163"/>
      <c r="B286" s="163"/>
      <c r="C286" s="156"/>
      <c r="D286" s="156"/>
      <c r="E286" s="158"/>
      <c r="F286" s="209"/>
      <c r="G286" s="158"/>
      <c r="H286" s="136"/>
      <c r="I286" s="158"/>
      <c r="J286" s="135"/>
    </row>
    <row r="287" spans="1:10" x14ac:dyDescent="0.2">
      <c r="A287" s="137" t="s">
        <v>15</v>
      </c>
      <c r="B287" s="137"/>
      <c r="C287" s="137"/>
      <c r="D287" s="137"/>
      <c r="E287" s="138">
        <v>0</v>
      </c>
      <c r="F287" s="138">
        <v>0</v>
      </c>
      <c r="G287" s="138">
        <v>0</v>
      </c>
      <c r="H287" s="138">
        <v>0</v>
      </c>
      <c r="I287" s="138">
        <v>0</v>
      </c>
      <c r="J287" s="138">
        <v>0</v>
      </c>
    </row>
    <row r="288" spans="1:10" x14ac:dyDescent="0.2">
      <c r="A288" s="290"/>
      <c r="B288" s="290"/>
      <c r="C288" s="290"/>
      <c r="D288" s="290"/>
      <c r="E288" s="290"/>
      <c r="F288" s="290"/>
      <c r="G288" s="290"/>
      <c r="H288" s="290"/>
      <c r="I288" s="290"/>
      <c r="J288" s="290"/>
    </row>
    <row r="289" spans="1:10" x14ac:dyDescent="0.2">
      <c r="A289" s="161" t="s">
        <v>288</v>
      </c>
      <c r="B289" s="161"/>
      <c r="C289" s="161"/>
      <c r="D289" s="161"/>
      <c r="E289" s="161"/>
      <c r="F289" s="202"/>
      <c r="G289" s="202"/>
      <c r="H289" s="202"/>
      <c r="I289" s="202"/>
      <c r="J289" s="202"/>
    </row>
    <row r="290" spans="1:10" x14ac:dyDescent="0.2">
      <c r="A290" s="131" t="s">
        <v>300</v>
      </c>
      <c r="B290" s="131"/>
      <c r="C290" s="131"/>
      <c r="D290" s="132" t="s">
        <v>301</v>
      </c>
      <c r="E290" s="132" t="s">
        <v>302</v>
      </c>
      <c r="F290" s="131" t="s">
        <v>300</v>
      </c>
      <c r="G290" s="131"/>
      <c r="H290" s="131"/>
      <c r="I290" s="132" t="s">
        <v>301</v>
      </c>
      <c r="J290" s="132" t="s">
        <v>302</v>
      </c>
    </row>
    <row r="291" spans="1:10" x14ac:dyDescent="0.2">
      <c r="A291" s="134" t="str">
        <f>Establishment!D246</f>
        <v>Director, Statistics</v>
      </c>
      <c r="B291" s="134"/>
      <c r="C291" s="134"/>
      <c r="D291" s="133" t="str">
        <f>Establishment!E246</f>
        <v>R7</v>
      </c>
      <c r="E291" s="133">
        <f>Establishment!C246</f>
        <v>1</v>
      </c>
      <c r="F291" s="134" t="str">
        <f>Establishment!D249</f>
        <v>Computer Systems Officer</v>
      </c>
      <c r="G291" s="134"/>
      <c r="H291" s="134"/>
      <c r="I291" s="133" t="str">
        <f>Establishment!E249</f>
        <v>R28-22</v>
      </c>
      <c r="J291" s="133">
        <f>Establishment!C249</f>
        <v>1</v>
      </c>
    </row>
    <row r="292" spans="1:10" ht="14.25" customHeight="1" x14ac:dyDescent="0.2">
      <c r="A292" s="134" t="str">
        <f>Establishment!D247</f>
        <v>Statistician</v>
      </c>
      <c r="B292" s="134"/>
      <c r="C292" s="134"/>
      <c r="D292" s="133" t="str">
        <f>Establishment!E247</f>
        <v>R22-16</v>
      </c>
      <c r="E292" s="133">
        <f>Establishment!C247</f>
        <v>3</v>
      </c>
      <c r="F292" s="134" t="str">
        <f>Establishment!D250</f>
        <v>Clerical Officer (Snr)</v>
      </c>
      <c r="G292" s="134"/>
      <c r="H292" s="134"/>
      <c r="I292" s="133" t="str">
        <f>Establishment!E250</f>
        <v>R22-16</v>
      </c>
      <c r="J292" s="133">
        <f>Establishment!C250</f>
        <v>1</v>
      </c>
    </row>
    <row r="293" spans="1:10" x14ac:dyDescent="0.2">
      <c r="A293" s="134" t="str">
        <f>Establishment!D248</f>
        <v>Assistant Statistician</v>
      </c>
      <c r="B293" s="134"/>
      <c r="C293" s="134"/>
      <c r="D293" s="133" t="str">
        <f>Establishment!E248</f>
        <v>R28-22</v>
      </c>
      <c r="E293" s="133">
        <f>Establishment!C248</f>
        <v>2</v>
      </c>
      <c r="F293" s="134"/>
      <c r="G293" s="134"/>
      <c r="H293" s="134"/>
      <c r="I293" s="133"/>
      <c r="J293" s="133"/>
    </row>
    <row r="294" spans="1:10" ht="15" customHeight="1" x14ac:dyDescent="0.2">
      <c r="A294" s="203" t="s">
        <v>303</v>
      </c>
      <c r="B294" s="203"/>
      <c r="C294" s="203"/>
      <c r="D294" s="203"/>
      <c r="E294" s="203"/>
      <c r="F294" s="203"/>
      <c r="G294" s="203"/>
      <c r="H294" s="203"/>
      <c r="I294" s="203"/>
      <c r="J294" s="204">
        <f>SUM(E291:E293,J291:J293)</f>
        <v>8</v>
      </c>
    </row>
    <row r="295" spans="1:10" x14ac:dyDescent="0.2">
      <c r="A295" s="129"/>
      <c r="B295" s="129"/>
      <c r="C295" s="129"/>
      <c r="D295" s="129"/>
      <c r="E295" s="129"/>
      <c r="F295" s="179"/>
      <c r="G295" s="179"/>
      <c r="H295" s="179"/>
      <c r="I295" s="179"/>
      <c r="J295" s="179"/>
    </row>
    <row r="296" spans="1:10" x14ac:dyDescent="0.2">
      <c r="A296" s="180" t="s">
        <v>304</v>
      </c>
      <c r="B296" s="180"/>
      <c r="C296" s="180"/>
      <c r="D296" s="180"/>
      <c r="E296" s="180"/>
      <c r="F296" s="180"/>
      <c r="G296" s="180"/>
      <c r="H296" s="180"/>
      <c r="I296" s="180"/>
      <c r="J296" s="180"/>
    </row>
    <row r="297" spans="1:10" x14ac:dyDescent="0.2">
      <c r="A297" s="181" t="s">
        <v>305</v>
      </c>
      <c r="B297" s="181"/>
      <c r="C297" s="181"/>
      <c r="D297" s="181"/>
      <c r="E297" s="181"/>
      <c r="F297" s="181"/>
      <c r="G297" s="181"/>
      <c r="H297" s="181"/>
      <c r="I297" s="181"/>
      <c r="J297" s="181"/>
    </row>
    <row r="298" spans="1:10" x14ac:dyDescent="0.2">
      <c r="A298" s="369" t="s">
        <v>1120</v>
      </c>
      <c r="B298" s="369"/>
      <c r="C298" s="369"/>
      <c r="D298" s="369"/>
      <c r="E298" s="369"/>
      <c r="F298" s="369"/>
      <c r="G298" s="369"/>
      <c r="H298" s="369"/>
      <c r="I298" s="369"/>
      <c r="J298" s="369"/>
    </row>
    <row r="299" spans="1:10" x14ac:dyDescent="0.2">
      <c r="A299" s="369" t="s">
        <v>1121</v>
      </c>
      <c r="B299" s="369"/>
      <c r="C299" s="369"/>
      <c r="D299" s="369"/>
      <c r="E299" s="369"/>
      <c r="F299" s="369"/>
      <c r="G299" s="369"/>
      <c r="H299" s="369"/>
      <c r="I299" s="369"/>
      <c r="J299" s="369"/>
    </row>
    <row r="300" spans="1:10" x14ac:dyDescent="0.2">
      <c r="A300" s="129" t="s">
        <v>1122</v>
      </c>
      <c r="B300" s="129"/>
      <c r="C300" s="129"/>
      <c r="D300" s="129"/>
      <c r="E300" s="129"/>
      <c r="F300" s="129"/>
      <c r="G300" s="129"/>
      <c r="H300" s="129"/>
      <c r="I300" s="129"/>
      <c r="J300" s="129"/>
    </row>
    <row r="301" spans="1:10" ht="15" customHeight="1" x14ac:dyDescent="0.2">
      <c r="A301" s="129" t="s">
        <v>1123</v>
      </c>
      <c r="B301" s="129"/>
      <c r="C301" s="129"/>
      <c r="D301" s="129"/>
      <c r="E301" s="129"/>
      <c r="F301" s="129"/>
      <c r="G301" s="129"/>
      <c r="H301" s="129"/>
      <c r="I301" s="129"/>
      <c r="J301" s="129"/>
    </row>
    <row r="302" spans="1:10" x14ac:dyDescent="0.2">
      <c r="A302" s="129"/>
      <c r="B302" s="129"/>
      <c r="C302" s="129"/>
      <c r="D302" s="129"/>
      <c r="E302" s="129"/>
      <c r="F302" s="129"/>
      <c r="G302" s="129"/>
      <c r="H302" s="129"/>
      <c r="I302" s="129"/>
      <c r="J302" s="129"/>
    </row>
    <row r="303" spans="1:10" x14ac:dyDescent="0.2">
      <c r="A303" s="129"/>
      <c r="B303" s="129"/>
      <c r="C303" s="129"/>
      <c r="D303" s="129"/>
      <c r="E303" s="129"/>
      <c r="F303" s="129"/>
      <c r="G303" s="129"/>
      <c r="H303" s="129"/>
      <c r="I303" s="129"/>
      <c r="J303" s="129"/>
    </row>
    <row r="304" spans="1:10" x14ac:dyDescent="0.2">
      <c r="A304" s="183" t="s">
        <v>415</v>
      </c>
      <c r="B304" s="183"/>
      <c r="C304" s="183"/>
      <c r="D304" s="183"/>
      <c r="E304" s="183"/>
      <c r="F304" s="183"/>
      <c r="G304" s="183"/>
      <c r="H304" s="183"/>
      <c r="I304" s="183"/>
      <c r="J304" s="183"/>
    </row>
    <row r="305" spans="1:10" x14ac:dyDescent="0.2">
      <c r="A305" s="129"/>
      <c r="B305" s="129"/>
      <c r="C305" s="129"/>
      <c r="D305" s="129"/>
      <c r="E305" s="129"/>
      <c r="F305" s="129"/>
      <c r="G305" s="129"/>
      <c r="H305" s="129"/>
      <c r="I305" s="129"/>
      <c r="J305" s="129"/>
    </row>
    <row r="306" spans="1:10" x14ac:dyDescent="0.2">
      <c r="A306" s="129"/>
      <c r="B306" s="129"/>
      <c r="C306" s="129"/>
      <c r="D306" s="129"/>
      <c r="E306" s="129"/>
      <c r="F306" s="129"/>
      <c r="G306" s="129"/>
      <c r="H306" s="129"/>
      <c r="I306" s="129"/>
      <c r="J306" s="129"/>
    </row>
    <row r="307" spans="1:10" ht="15" customHeight="1" x14ac:dyDescent="0.2">
      <c r="A307" s="129"/>
      <c r="B307" s="129"/>
      <c r="C307" s="129"/>
      <c r="D307" s="129"/>
      <c r="E307" s="129"/>
      <c r="F307" s="129"/>
      <c r="G307" s="129"/>
      <c r="H307" s="129"/>
      <c r="I307" s="129"/>
      <c r="J307" s="129"/>
    </row>
    <row r="308" spans="1:10" x14ac:dyDescent="0.2">
      <c r="A308" s="129"/>
      <c r="B308" s="129"/>
      <c r="C308" s="129"/>
      <c r="D308" s="129"/>
      <c r="E308" s="129"/>
      <c r="F308" s="129"/>
      <c r="G308" s="129"/>
      <c r="H308" s="129"/>
      <c r="I308" s="129"/>
      <c r="J308" s="129"/>
    </row>
    <row r="309" spans="1:10" ht="22.5" x14ac:dyDescent="0.2">
      <c r="A309" s="180" t="s">
        <v>315</v>
      </c>
      <c r="B309" s="180"/>
      <c r="C309" s="180"/>
      <c r="D309" s="180"/>
      <c r="E309" s="180"/>
      <c r="F309" s="184" t="str">
        <f>F146</f>
        <v xml:space="preserve"> Actual 2014-2015</v>
      </c>
      <c r="G309" s="184" t="str">
        <f>G146</f>
        <v xml:space="preserve"> Estimate 2015-2016</v>
      </c>
      <c r="H309" s="184" t="str">
        <f>H146</f>
        <v xml:space="preserve"> Target 2016-2017</v>
      </c>
      <c r="I309" s="184" t="str">
        <f>I146</f>
        <v xml:space="preserve"> Target 2017-2018</v>
      </c>
      <c r="J309" s="184" t="str">
        <f>J146</f>
        <v xml:space="preserve"> Target 2018-2019</v>
      </c>
    </row>
    <row r="310" spans="1:10" x14ac:dyDescent="0.2">
      <c r="A310" s="180" t="s">
        <v>316</v>
      </c>
      <c r="B310" s="180"/>
      <c r="C310" s="180"/>
      <c r="D310" s="180"/>
      <c r="E310" s="180"/>
      <c r="F310" s="180"/>
      <c r="G310" s="180"/>
      <c r="H310" s="180"/>
      <c r="I310" s="180"/>
      <c r="J310" s="180"/>
    </row>
    <row r="311" spans="1:10" x14ac:dyDescent="0.2">
      <c r="A311" s="369" t="s">
        <v>1124</v>
      </c>
      <c r="B311" s="369"/>
      <c r="C311" s="369"/>
      <c r="D311" s="369"/>
      <c r="E311" s="369"/>
      <c r="F311" s="272" t="s">
        <v>948</v>
      </c>
      <c r="G311" s="272" t="s">
        <v>523</v>
      </c>
      <c r="H311" s="272" t="s">
        <v>948</v>
      </c>
      <c r="I311" s="272" t="s">
        <v>1125</v>
      </c>
      <c r="J311" s="272" t="s">
        <v>1126</v>
      </c>
    </row>
    <row r="312" spans="1:10" x14ac:dyDescent="0.2">
      <c r="A312" s="369" t="s">
        <v>1127</v>
      </c>
      <c r="B312" s="369"/>
      <c r="C312" s="369"/>
      <c r="D312" s="369"/>
      <c r="E312" s="369"/>
      <c r="F312" s="272" t="s">
        <v>523</v>
      </c>
      <c r="G312" s="272" t="s">
        <v>1126</v>
      </c>
      <c r="H312" s="272" t="s">
        <v>1128</v>
      </c>
      <c r="I312" s="272" t="s">
        <v>1126</v>
      </c>
      <c r="J312" s="272" t="s">
        <v>1129</v>
      </c>
    </row>
    <row r="313" spans="1:10" x14ac:dyDescent="0.2">
      <c r="A313" s="369" t="s">
        <v>1130</v>
      </c>
      <c r="B313" s="369"/>
      <c r="C313" s="369"/>
      <c r="D313" s="369"/>
      <c r="E313" s="369"/>
      <c r="F313" s="272">
        <v>3</v>
      </c>
      <c r="G313" s="272">
        <v>3</v>
      </c>
      <c r="H313" s="272">
        <v>4</v>
      </c>
      <c r="I313" s="272">
        <v>4</v>
      </c>
      <c r="J313" s="272">
        <v>3</v>
      </c>
    </row>
    <row r="314" spans="1:10" x14ac:dyDescent="0.2">
      <c r="A314" s="369" t="s">
        <v>1131</v>
      </c>
      <c r="B314" s="369"/>
      <c r="C314" s="369"/>
      <c r="D314" s="369"/>
      <c r="E314" s="369"/>
      <c r="F314" s="272">
        <v>317</v>
      </c>
      <c r="G314" s="272" t="s">
        <v>1132</v>
      </c>
      <c r="H314" s="272">
        <v>250</v>
      </c>
      <c r="I314" s="272">
        <v>250</v>
      </c>
      <c r="J314" s="272">
        <v>250</v>
      </c>
    </row>
    <row r="315" spans="1:10" ht="24" customHeight="1" x14ac:dyDescent="0.2">
      <c r="A315" s="369" t="s">
        <v>1133</v>
      </c>
      <c r="B315" s="369"/>
      <c r="C315" s="369"/>
      <c r="D315" s="369"/>
      <c r="E315" s="369"/>
      <c r="F315" s="272">
        <v>1</v>
      </c>
      <c r="G315" s="272">
        <v>1</v>
      </c>
      <c r="H315" s="272">
        <v>1</v>
      </c>
      <c r="I315" s="272">
        <v>1</v>
      </c>
      <c r="J315" s="272">
        <v>1</v>
      </c>
    </row>
    <row r="316" spans="1:10" x14ac:dyDescent="0.2">
      <c r="A316" s="188" t="s">
        <v>660</v>
      </c>
      <c r="B316" s="188"/>
      <c r="C316" s="188"/>
      <c r="D316" s="188"/>
      <c r="E316" s="188"/>
      <c r="F316" s="273"/>
      <c r="G316" s="190"/>
      <c r="H316" s="190"/>
      <c r="I316" s="190"/>
      <c r="J316" s="190"/>
    </row>
    <row r="317" spans="1:10" ht="24" customHeight="1" x14ac:dyDescent="0.2">
      <c r="A317" s="180" t="s">
        <v>324</v>
      </c>
      <c r="B317" s="180"/>
      <c r="C317" s="180"/>
      <c r="D317" s="180"/>
      <c r="E317" s="180"/>
      <c r="F317" s="180"/>
      <c r="G317" s="180"/>
      <c r="H317" s="180"/>
      <c r="I317" s="180"/>
      <c r="J317" s="180"/>
    </row>
    <row r="318" spans="1:10" x14ac:dyDescent="0.2">
      <c r="A318" s="369" t="s">
        <v>1134</v>
      </c>
      <c r="B318" s="369"/>
      <c r="C318" s="369"/>
      <c r="D318" s="369"/>
      <c r="E318" s="369"/>
      <c r="F318" s="272" t="s">
        <v>948</v>
      </c>
      <c r="G318" s="191" t="s">
        <v>1125</v>
      </c>
      <c r="H318" s="191" t="s">
        <v>1126</v>
      </c>
      <c r="I318" s="191" t="s">
        <v>1126</v>
      </c>
      <c r="J318" s="191" t="s">
        <v>1126</v>
      </c>
    </row>
    <row r="319" spans="1:10" x14ac:dyDescent="0.2">
      <c r="A319" s="369" t="s">
        <v>1135</v>
      </c>
      <c r="B319" s="369"/>
      <c r="C319" s="369"/>
      <c r="D319" s="369"/>
      <c r="E319" s="369"/>
      <c r="F319" s="371">
        <v>0.47</v>
      </c>
      <c r="G319" s="426">
        <v>0.54</v>
      </c>
      <c r="H319" s="426">
        <v>0.55000000000000004</v>
      </c>
      <c r="I319" s="426">
        <v>0.56999999999999995</v>
      </c>
      <c r="J319" s="426">
        <v>0.6</v>
      </c>
    </row>
    <row r="320" spans="1:10" x14ac:dyDescent="0.2">
      <c r="A320" s="129"/>
      <c r="B320" s="129"/>
      <c r="C320" s="129"/>
      <c r="D320" s="129"/>
      <c r="E320" s="129"/>
      <c r="F320" s="129"/>
      <c r="G320" s="129"/>
      <c r="H320" s="129"/>
      <c r="I320" s="129"/>
      <c r="J320" s="129"/>
    </row>
    <row r="321" spans="1:10" x14ac:dyDescent="0.2">
      <c r="A321" s="150" t="s">
        <v>1136</v>
      </c>
      <c r="B321" s="150"/>
      <c r="C321" s="150"/>
      <c r="D321" s="150"/>
      <c r="E321" s="150"/>
      <c r="F321" s="150"/>
      <c r="G321" s="150"/>
      <c r="H321" s="150"/>
      <c r="I321" s="150"/>
      <c r="J321" s="150"/>
    </row>
    <row r="322" spans="1:10" x14ac:dyDescent="0.2">
      <c r="A322" s="151" t="s">
        <v>291</v>
      </c>
      <c r="B322" s="151"/>
      <c r="C322" s="151"/>
      <c r="D322" s="101"/>
      <c r="E322" s="101"/>
      <c r="F322" s="101"/>
      <c r="G322" s="101"/>
      <c r="H322" s="101"/>
      <c r="I322" s="101"/>
      <c r="J322" s="101"/>
    </row>
    <row r="323" spans="1:10" x14ac:dyDescent="0.2">
      <c r="A323" s="129" t="s">
        <v>1137</v>
      </c>
      <c r="B323" s="129"/>
      <c r="C323" s="129"/>
      <c r="D323" s="129"/>
      <c r="E323" s="129"/>
      <c r="F323" s="129"/>
      <c r="G323" s="129"/>
      <c r="H323" s="129"/>
      <c r="I323" s="129"/>
      <c r="J323" s="129"/>
    </row>
    <row r="324" spans="1:10" x14ac:dyDescent="0.2">
      <c r="A324" s="128" t="s">
        <v>293</v>
      </c>
      <c r="B324" s="128"/>
      <c r="C324" s="128"/>
      <c r="D324" s="128"/>
      <c r="E324" s="128"/>
      <c r="F324" s="128"/>
      <c r="G324" s="128"/>
      <c r="H324" s="128"/>
      <c r="I324" s="128"/>
      <c r="J324" s="128"/>
    </row>
    <row r="325" spans="1:10" ht="33.75" x14ac:dyDescent="0.2">
      <c r="A325" s="152" t="s">
        <v>243</v>
      </c>
      <c r="B325" s="151" t="s">
        <v>242</v>
      </c>
      <c r="C325" s="151"/>
      <c r="D325" s="151"/>
      <c r="E325" s="132" t="str">
        <f t="shared" ref="E325:J325" si="58">E24</f>
        <v>Actuals           2014-2015</v>
      </c>
      <c r="F325" s="132" t="str">
        <f t="shared" si="58"/>
        <v>Approved Estimates          2015-2016</v>
      </c>
      <c r="G325" s="132" t="str">
        <f t="shared" si="58"/>
        <v>Revised Estimates                 2015-2016</v>
      </c>
      <c r="H325" s="132" t="str">
        <f t="shared" si="58"/>
        <v>Budget Estimates      2016-2017</v>
      </c>
      <c r="I325" s="132" t="str">
        <f t="shared" si="58"/>
        <v>Forward Estimates     2017-2018</v>
      </c>
      <c r="J325" s="132" t="str">
        <f t="shared" si="58"/>
        <v>Forward Estimates     2018-2019</v>
      </c>
    </row>
    <row r="326" spans="1:10" x14ac:dyDescent="0.2">
      <c r="A326" s="207" t="s">
        <v>104</v>
      </c>
      <c r="B326" s="129" t="s">
        <v>1138</v>
      </c>
      <c r="C326" s="101" t="s">
        <v>1138</v>
      </c>
      <c r="D326" s="101" t="s">
        <v>1138</v>
      </c>
      <c r="E326" s="211">
        <v>63061.009999999995</v>
      </c>
      <c r="F326" s="211">
        <v>60000</v>
      </c>
      <c r="G326" s="211">
        <v>113300</v>
      </c>
      <c r="H326" s="210">
        <v>60000</v>
      </c>
      <c r="I326" s="211">
        <v>60000</v>
      </c>
      <c r="J326" s="211">
        <v>60000</v>
      </c>
    </row>
    <row r="327" spans="1:10" x14ac:dyDescent="0.2">
      <c r="A327" s="207">
        <v>122</v>
      </c>
      <c r="B327" s="129" t="s">
        <v>1139</v>
      </c>
      <c r="C327" s="101"/>
      <c r="D327" s="101"/>
      <c r="E327" s="211">
        <v>0</v>
      </c>
      <c r="F327" s="211">
        <v>0</v>
      </c>
      <c r="G327" s="211">
        <v>0</v>
      </c>
      <c r="H327" s="210">
        <v>0</v>
      </c>
      <c r="I327" s="211">
        <v>0</v>
      </c>
      <c r="J327" s="211">
        <v>0</v>
      </c>
    </row>
    <row r="328" spans="1:10" x14ac:dyDescent="0.2">
      <c r="A328" s="207">
        <v>125</v>
      </c>
      <c r="B328" s="129" t="s">
        <v>1140</v>
      </c>
      <c r="C328" s="101"/>
      <c r="D328" s="101"/>
      <c r="E328" s="211">
        <v>0</v>
      </c>
      <c r="F328" s="211">
        <v>0</v>
      </c>
      <c r="G328" s="211">
        <v>0</v>
      </c>
      <c r="H328" s="210">
        <v>0</v>
      </c>
      <c r="I328" s="211">
        <v>0</v>
      </c>
      <c r="J328" s="211">
        <v>0</v>
      </c>
    </row>
    <row r="329" spans="1:10" x14ac:dyDescent="0.2">
      <c r="A329" s="207" t="s">
        <v>116</v>
      </c>
      <c r="B329" s="129" t="s">
        <v>1141</v>
      </c>
      <c r="C329" s="101"/>
      <c r="D329" s="101"/>
      <c r="E329" s="211">
        <v>0</v>
      </c>
      <c r="F329" s="211">
        <v>0</v>
      </c>
      <c r="G329" s="211">
        <v>0</v>
      </c>
      <c r="H329" s="210">
        <v>0</v>
      </c>
      <c r="I329" s="211">
        <v>0</v>
      </c>
      <c r="J329" s="211">
        <v>0</v>
      </c>
    </row>
    <row r="330" spans="1:10" x14ac:dyDescent="0.2">
      <c r="A330" s="207">
        <v>135</v>
      </c>
      <c r="B330" s="129" t="s">
        <v>1142</v>
      </c>
      <c r="C330" s="101"/>
      <c r="D330" s="101"/>
      <c r="E330" s="211">
        <v>0</v>
      </c>
      <c r="F330" s="211">
        <v>0</v>
      </c>
      <c r="G330" s="211">
        <v>0</v>
      </c>
      <c r="H330" s="210">
        <v>0</v>
      </c>
      <c r="I330" s="211">
        <v>0</v>
      </c>
      <c r="J330" s="211">
        <v>0</v>
      </c>
    </row>
    <row r="331" spans="1:10" x14ac:dyDescent="0.2">
      <c r="A331" s="207" t="s">
        <v>736</v>
      </c>
      <c r="B331" s="129" t="s">
        <v>1143</v>
      </c>
      <c r="C331" s="101"/>
      <c r="D331" s="101"/>
      <c r="E331" s="211">
        <v>34530.61</v>
      </c>
      <c r="F331" s="211">
        <v>48500</v>
      </c>
      <c r="G331" s="211">
        <v>36100</v>
      </c>
      <c r="H331" s="210">
        <v>48500</v>
      </c>
      <c r="I331" s="211">
        <v>48500</v>
      </c>
      <c r="J331" s="211">
        <v>48500</v>
      </c>
    </row>
    <row r="332" spans="1:10" x14ac:dyDescent="0.2">
      <c r="A332" s="207">
        <v>140</v>
      </c>
      <c r="B332" s="129" t="s">
        <v>1144</v>
      </c>
      <c r="C332" s="101"/>
      <c r="D332" s="101"/>
      <c r="E332" s="211">
        <v>0</v>
      </c>
      <c r="F332" s="211">
        <v>0</v>
      </c>
      <c r="G332" s="211">
        <v>0</v>
      </c>
      <c r="H332" s="210">
        <v>0</v>
      </c>
      <c r="I332" s="211">
        <v>0</v>
      </c>
      <c r="J332" s="211">
        <v>0</v>
      </c>
    </row>
    <row r="333" spans="1:10" x14ac:dyDescent="0.2">
      <c r="A333" s="207" t="s">
        <v>1055</v>
      </c>
      <c r="B333" s="129" t="s">
        <v>1145</v>
      </c>
      <c r="C333" s="101"/>
      <c r="D333" s="101"/>
      <c r="E333" s="211">
        <v>0</v>
      </c>
      <c r="F333" s="211">
        <v>0</v>
      </c>
      <c r="G333" s="211">
        <v>0</v>
      </c>
      <c r="H333" s="210">
        <v>0</v>
      </c>
      <c r="I333" s="211">
        <v>0</v>
      </c>
      <c r="J333" s="211">
        <v>0</v>
      </c>
    </row>
    <row r="334" spans="1:10" x14ac:dyDescent="0.2">
      <c r="A334" s="207" t="s">
        <v>1055</v>
      </c>
      <c r="B334" s="129" t="s">
        <v>1146</v>
      </c>
      <c r="C334" s="101"/>
      <c r="D334" s="101"/>
      <c r="E334" s="211">
        <v>50159.93</v>
      </c>
      <c r="F334" s="211">
        <v>15000</v>
      </c>
      <c r="G334" s="211">
        <v>902800</v>
      </c>
      <c r="H334" s="210">
        <v>15000</v>
      </c>
      <c r="I334" s="211">
        <v>15000</v>
      </c>
      <c r="J334" s="211">
        <v>15000</v>
      </c>
    </row>
    <row r="335" spans="1:10" x14ac:dyDescent="0.2">
      <c r="A335" s="207" t="s">
        <v>1055</v>
      </c>
      <c r="B335" s="129" t="s">
        <v>1147</v>
      </c>
      <c r="C335" s="101"/>
      <c r="D335" s="101"/>
      <c r="E335" s="211">
        <v>50195.880000000005</v>
      </c>
      <c r="F335" s="211">
        <v>890000</v>
      </c>
      <c r="G335" s="211">
        <v>31200</v>
      </c>
      <c r="H335" s="210">
        <v>20000</v>
      </c>
      <c r="I335" s="211">
        <v>20000</v>
      </c>
      <c r="J335" s="211">
        <v>20000</v>
      </c>
    </row>
    <row r="336" spans="1:10" ht="14.25" customHeight="1" x14ac:dyDescent="0.2">
      <c r="A336" s="207" t="s">
        <v>1058</v>
      </c>
      <c r="B336" s="129" t="s">
        <v>1059</v>
      </c>
      <c r="C336" s="101" t="s">
        <v>1059</v>
      </c>
      <c r="D336" s="101" t="s">
        <v>1059</v>
      </c>
      <c r="E336" s="211">
        <v>43066.81</v>
      </c>
      <c r="F336" s="211">
        <v>0</v>
      </c>
      <c r="G336" s="211">
        <v>0</v>
      </c>
      <c r="H336" s="210">
        <v>0</v>
      </c>
      <c r="I336" s="211">
        <v>0</v>
      </c>
      <c r="J336" s="211">
        <v>0</v>
      </c>
    </row>
    <row r="337" spans="1:10" ht="14.25" customHeight="1" x14ac:dyDescent="0.2">
      <c r="A337" s="207" t="s">
        <v>1058</v>
      </c>
      <c r="B337" s="129" t="s">
        <v>1031</v>
      </c>
      <c r="C337" s="101" t="s">
        <v>1031</v>
      </c>
      <c r="D337" s="101" t="s">
        <v>1031</v>
      </c>
      <c r="E337" s="211">
        <v>660</v>
      </c>
      <c r="F337" s="211">
        <v>0</v>
      </c>
      <c r="G337" s="211">
        <v>0</v>
      </c>
      <c r="H337" s="210">
        <v>0</v>
      </c>
      <c r="I337" s="211">
        <v>0</v>
      </c>
      <c r="J337" s="211">
        <v>0</v>
      </c>
    </row>
    <row r="338" spans="1:10" x14ac:dyDescent="0.2">
      <c r="A338" s="207" t="s">
        <v>1058</v>
      </c>
      <c r="B338" s="129" t="s">
        <v>1148</v>
      </c>
      <c r="C338" s="101"/>
      <c r="D338" s="101"/>
      <c r="E338" s="211">
        <v>7256.9699999999993</v>
      </c>
      <c r="F338" s="211">
        <v>24000</v>
      </c>
      <c r="G338" s="211">
        <v>11400</v>
      </c>
      <c r="H338" s="210">
        <v>24000</v>
      </c>
      <c r="I338" s="211">
        <v>24000</v>
      </c>
      <c r="J338" s="211">
        <v>24000</v>
      </c>
    </row>
    <row r="339" spans="1:10" x14ac:dyDescent="0.2">
      <c r="A339" s="207" t="s">
        <v>1058</v>
      </c>
      <c r="B339" s="129" t="s">
        <v>1149</v>
      </c>
      <c r="C339" s="101"/>
      <c r="D339" s="101"/>
      <c r="E339" s="211">
        <v>202892.57</v>
      </c>
      <c r="F339" s="211">
        <v>0</v>
      </c>
      <c r="G339" s="211">
        <v>0</v>
      </c>
      <c r="H339" s="210">
        <v>0</v>
      </c>
      <c r="I339" s="211">
        <v>0</v>
      </c>
      <c r="J339" s="211">
        <v>0</v>
      </c>
    </row>
    <row r="340" spans="1:10" x14ac:dyDescent="0.2">
      <c r="A340" s="137" t="s">
        <v>1027</v>
      </c>
      <c r="B340" s="137"/>
      <c r="C340" s="137"/>
      <c r="D340" s="137"/>
      <c r="E340" s="138">
        <f t="shared" ref="E340:J340" si="59">SUM(E326:E339)</f>
        <v>451823.78</v>
      </c>
      <c r="F340" s="138">
        <f t="shared" si="59"/>
        <v>1037500</v>
      </c>
      <c r="G340" s="138">
        <f t="shared" si="59"/>
        <v>1094800</v>
      </c>
      <c r="H340" s="138">
        <f t="shared" si="59"/>
        <v>167500</v>
      </c>
      <c r="I340" s="138">
        <f t="shared" si="59"/>
        <v>167500</v>
      </c>
      <c r="J340" s="138">
        <f t="shared" si="59"/>
        <v>167500</v>
      </c>
    </row>
    <row r="341" spans="1:10" x14ac:dyDescent="0.2">
      <c r="A341" s="129"/>
      <c r="B341" s="129"/>
      <c r="C341" s="129"/>
      <c r="D341" s="129"/>
      <c r="E341" s="129"/>
      <c r="F341" s="129"/>
      <c r="G341" s="129"/>
      <c r="H341" s="129"/>
      <c r="I341" s="129"/>
      <c r="J341" s="129"/>
    </row>
    <row r="342" spans="1:10" ht="15" customHeight="1" x14ac:dyDescent="0.2">
      <c r="A342" s="128" t="s">
        <v>284</v>
      </c>
      <c r="B342" s="128"/>
      <c r="C342" s="128"/>
      <c r="D342" s="128"/>
      <c r="E342" s="128"/>
      <c r="F342" s="128"/>
      <c r="G342" s="128"/>
      <c r="H342" s="128"/>
      <c r="I342" s="128"/>
      <c r="J342" s="128"/>
    </row>
    <row r="343" spans="1:10" ht="33.75" x14ac:dyDescent="0.2">
      <c r="A343" s="152" t="s">
        <v>243</v>
      </c>
      <c r="B343" s="151" t="s">
        <v>242</v>
      </c>
      <c r="C343" s="151"/>
      <c r="D343" s="151"/>
      <c r="E343" s="132" t="str">
        <f t="shared" ref="E343:J343" si="60">E24</f>
        <v>Actuals           2014-2015</v>
      </c>
      <c r="F343" s="132" t="str">
        <f t="shared" si="60"/>
        <v>Approved Estimates          2015-2016</v>
      </c>
      <c r="G343" s="132" t="str">
        <f t="shared" si="60"/>
        <v>Revised Estimates                 2015-2016</v>
      </c>
      <c r="H343" s="132" t="str">
        <f t="shared" si="60"/>
        <v>Budget Estimates      2016-2017</v>
      </c>
      <c r="I343" s="132" t="str">
        <f t="shared" si="60"/>
        <v>Forward Estimates     2017-2018</v>
      </c>
      <c r="J343" s="132" t="str">
        <f t="shared" si="60"/>
        <v>Forward Estimates     2018-2019</v>
      </c>
    </row>
    <row r="344" spans="1:10" ht="15" customHeight="1" x14ac:dyDescent="0.2">
      <c r="A344" s="151" t="s">
        <v>7</v>
      </c>
      <c r="B344" s="151"/>
      <c r="C344" s="151"/>
      <c r="D344" s="151"/>
      <c r="E344" s="151"/>
      <c r="F344" s="151"/>
      <c r="G344" s="151"/>
      <c r="H344" s="151"/>
      <c r="I344" s="151"/>
      <c r="J344" s="190"/>
    </row>
    <row r="345" spans="1:10" x14ac:dyDescent="0.2">
      <c r="A345" s="207">
        <v>210</v>
      </c>
      <c r="B345" s="129" t="s">
        <v>7</v>
      </c>
      <c r="C345" s="101"/>
      <c r="D345" s="101"/>
      <c r="E345" s="211">
        <v>498642.7</v>
      </c>
      <c r="F345" s="211">
        <v>598600</v>
      </c>
      <c r="G345" s="211">
        <v>583700</v>
      </c>
      <c r="H345" s="210">
        <v>574400</v>
      </c>
      <c r="I345" s="211">
        <v>621000</v>
      </c>
      <c r="J345" s="211">
        <v>633300</v>
      </c>
    </row>
    <row r="346" spans="1:10" x14ac:dyDescent="0.2">
      <c r="A346" s="207">
        <v>211</v>
      </c>
      <c r="B346" s="129" t="s">
        <v>1150</v>
      </c>
      <c r="C346" s="101"/>
      <c r="D346" s="101"/>
      <c r="E346" s="211">
        <v>0</v>
      </c>
      <c r="F346" s="211">
        <v>0</v>
      </c>
      <c r="G346" s="211">
        <v>0</v>
      </c>
      <c r="H346" s="210">
        <v>0</v>
      </c>
      <c r="I346" s="211">
        <v>0</v>
      </c>
      <c r="J346" s="211">
        <v>0</v>
      </c>
    </row>
    <row r="347" spans="1:10" x14ac:dyDescent="0.2">
      <c r="A347" s="207">
        <v>212</v>
      </c>
      <c r="B347" s="129" t="s">
        <v>9</v>
      </c>
      <c r="C347" s="101"/>
      <c r="D347" s="101"/>
      <c r="E347" s="211">
        <v>0</v>
      </c>
      <c r="F347" s="211">
        <v>0</v>
      </c>
      <c r="G347" s="211">
        <v>0</v>
      </c>
      <c r="H347" s="210">
        <v>0</v>
      </c>
      <c r="I347" s="211">
        <v>0</v>
      </c>
      <c r="J347" s="211">
        <v>0</v>
      </c>
    </row>
    <row r="348" spans="1:10" x14ac:dyDescent="0.2">
      <c r="A348" s="207">
        <v>216</v>
      </c>
      <c r="B348" s="129" t="s">
        <v>10</v>
      </c>
      <c r="C348" s="101"/>
      <c r="D348" s="101"/>
      <c r="E348" s="211">
        <v>43419.59</v>
      </c>
      <c r="F348" s="211">
        <v>59600</v>
      </c>
      <c r="G348" s="211">
        <v>59800</v>
      </c>
      <c r="H348" s="210">
        <v>59600</v>
      </c>
      <c r="I348" s="211">
        <v>59600</v>
      </c>
      <c r="J348" s="211">
        <v>59600</v>
      </c>
    </row>
    <row r="349" spans="1:10" x14ac:dyDescent="0.2">
      <c r="A349" s="207">
        <v>218</v>
      </c>
      <c r="B349" s="129" t="s">
        <v>294</v>
      </c>
      <c r="C349" s="101"/>
      <c r="D349" s="101"/>
      <c r="E349" s="211">
        <v>0</v>
      </c>
      <c r="F349" s="211">
        <v>0</v>
      </c>
      <c r="G349" s="211">
        <v>0</v>
      </c>
      <c r="H349" s="210">
        <v>0</v>
      </c>
      <c r="I349" s="211">
        <v>0</v>
      </c>
      <c r="J349" s="211">
        <v>0</v>
      </c>
    </row>
    <row r="350" spans="1:10" x14ac:dyDescent="0.2">
      <c r="A350" s="156" t="s">
        <v>295</v>
      </c>
      <c r="B350" s="156"/>
      <c r="C350" s="156"/>
      <c r="D350" s="156"/>
      <c r="E350" s="157">
        <f t="shared" ref="E350:J350" si="61">SUM(E345:E349)</f>
        <v>542062.29</v>
      </c>
      <c r="F350" s="157">
        <f t="shared" si="61"/>
        <v>658200</v>
      </c>
      <c r="G350" s="157">
        <f t="shared" si="61"/>
        <v>643500</v>
      </c>
      <c r="H350" s="157">
        <f t="shared" si="61"/>
        <v>634000</v>
      </c>
      <c r="I350" s="157">
        <f t="shared" si="61"/>
        <v>680600</v>
      </c>
      <c r="J350" s="157">
        <f t="shared" si="61"/>
        <v>692900</v>
      </c>
    </row>
    <row r="351" spans="1:10" x14ac:dyDescent="0.2">
      <c r="A351" s="156" t="s">
        <v>296</v>
      </c>
      <c r="B351" s="156"/>
      <c r="C351" s="156"/>
      <c r="D351" s="156"/>
      <c r="E351" s="156"/>
      <c r="F351" s="156"/>
      <c r="G351" s="156"/>
      <c r="H351" s="156"/>
      <c r="I351" s="156"/>
      <c r="J351" s="190"/>
    </row>
    <row r="352" spans="1:10" x14ac:dyDescent="0.2">
      <c r="A352" s="207">
        <v>220</v>
      </c>
      <c r="B352" s="129" t="s">
        <v>1151</v>
      </c>
      <c r="C352" s="101"/>
      <c r="D352" s="101"/>
      <c r="E352" s="211">
        <v>2129.16</v>
      </c>
      <c r="F352" s="211">
        <v>2700</v>
      </c>
      <c r="G352" s="211">
        <v>4000</v>
      </c>
      <c r="H352" s="210">
        <v>5400</v>
      </c>
      <c r="I352" s="211">
        <v>5400</v>
      </c>
      <c r="J352" s="211">
        <v>5400</v>
      </c>
    </row>
    <row r="353" spans="1:10" x14ac:dyDescent="0.2">
      <c r="A353" s="207">
        <v>226</v>
      </c>
      <c r="B353" s="129" t="s">
        <v>207</v>
      </c>
      <c r="C353" s="101"/>
      <c r="D353" s="101"/>
      <c r="E353" s="211">
        <v>4501.45</v>
      </c>
      <c r="F353" s="211">
        <v>5000</v>
      </c>
      <c r="G353" s="211">
        <v>4200</v>
      </c>
      <c r="H353" s="210">
        <v>5000</v>
      </c>
      <c r="I353" s="211">
        <v>5000</v>
      </c>
      <c r="J353" s="211">
        <v>5000</v>
      </c>
    </row>
    <row r="354" spans="1:10" x14ac:dyDescent="0.2">
      <c r="A354" s="207">
        <v>228</v>
      </c>
      <c r="B354" s="129" t="s">
        <v>208</v>
      </c>
      <c r="C354" s="101"/>
      <c r="D354" s="101"/>
      <c r="E354" s="211">
        <v>6558.01</v>
      </c>
      <c r="F354" s="211">
        <v>7000</v>
      </c>
      <c r="G354" s="211">
        <v>7000</v>
      </c>
      <c r="H354" s="210">
        <v>7500</v>
      </c>
      <c r="I354" s="211">
        <v>7500</v>
      </c>
      <c r="J354" s="211">
        <v>7500</v>
      </c>
    </row>
    <row r="355" spans="1:10" x14ac:dyDescent="0.2">
      <c r="A355" s="207">
        <v>229</v>
      </c>
      <c r="B355" s="129" t="s">
        <v>209</v>
      </c>
      <c r="C355" s="101"/>
      <c r="D355" s="101"/>
      <c r="E355" s="211">
        <v>1650</v>
      </c>
      <c r="F355" s="211">
        <v>13000</v>
      </c>
      <c r="G355" s="211">
        <v>9400</v>
      </c>
      <c r="H355" s="210">
        <v>13000</v>
      </c>
      <c r="I355" s="211">
        <v>13000</v>
      </c>
      <c r="J355" s="211">
        <v>13000</v>
      </c>
    </row>
    <row r="356" spans="1:10" x14ac:dyDescent="0.2">
      <c r="A356" s="207">
        <v>232</v>
      </c>
      <c r="B356" s="129" t="s">
        <v>211</v>
      </c>
      <c r="C356" s="101"/>
      <c r="D356" s="101"/>
      <c r="E356" s="211">
        <v>55</v>
      </c>
      <c r="F356" s="211">
        <v>2000</v>
      </c>
      <c r="G356" s="211">
        <v>1500</v>
      </c>
      <c r="H356" s="210">
        <v>2000</v>
      </c>
      <c r="I356" s="211">
        <v>2000</v>
      </c>
      <c r="J356" s="211">
        <v>2000</v>
      </c>
    </row>
    <row r="357" spans="1:10" x14ac:dyDescent="0.2">
      <c r="A357" s="207">
        <v>236</v>
      </c>
      <c r="B357" s="129" t="s">
        <v>213</v>
      </c>
      <c r="C357" s="101"/>
      <c r="D357" s="101"/>
      <c r="E357" s="211">
        <v>120</v>
      </c>
      <c r="F357" s="211">
        <v>3000</v>
      </c>
      <c r="G357" s="211">
        <v>2500</v>
      </c>
      <c r="H357" s="210">
        <f>3000</f>
        <v>3000</v>
      </c>
      <c r="I357" s="211">
        <f>3000</f>
        <v>3000</v>
      </c>
      <c r="J357" s="211">
        <f>3000</f>
        <v>3000</v>
      </c>
    </row>
    <row r="358" spans="1:10" x14ac:dyDescent="0.2">
      <c r="A358" s="207">
        <v>238</v>
      </c>
      <c r="B358" s="129" t="s">
        <v>214</v>
      </c>
      <c r="C358" s="101"/>
      <c r="D358" s="101"/>
      <c r="E358" s="211">
        <v>307616.44</v>
      </c>
      <c r="F358" s="211">
        <v>319200</v>
      </c>
      <c r="G358" s="211">
        <v>309700</v>
      </c>
      <c r="H358" s="210">
        <v>319200</v>
      </c>
      <c r="I358" s="211">
        <v>319200</v>
      </c>
      <c r="J358" s="211">
        <v>319200</v>
      </c>
    </row>
    <row r="359" spans="1:10" x14ac:dyDescent="0.2">
      <c r="A359" s="207">
        <v>246</v>
      </c>
      <c r="B359" s="129" t="s">
        <v>218</v>
      </c>
      <c r="C359" s="101"/>
      <c r="D359" s="101"/>
      <c r="E359" s="211">
        <v>24976.81</v>
      </c>
      <c r="F359" s="211">
        <v>20000</v>
      </c>
      <c r="G359" s="211">
        <v>20000</v>
      </c>
      <c r="H359" s="210">
        <v>20000</v>
      </c>
      <c r="I359" s="211">
        <v>20000</v>
      </c>
      <c r="J359" s="211">
        <v>20000</v>
      </c>
    </row>
    <row r="360" spans="1:10" x14ac:dyDescent="0.2">
      <c r="A360" s="207">
        <v>270</v>
      </c>
      <c r="B360" s="129" t="s">
        <v>224</v>
      </c>
      <c r="C360" s="101"/>
      <c r="D360" s="101"/>
      <c r="E360" s="211">
        <v>13781.11</v>
      </c>
      <c r="F360" s="211">
        <v>5000</v>
      </c>
      <c r="G360" s="211">
        <v>4300</v>
      </c>
      <c r="H360" s="210">
        <v>5000</v>
      </c>
      <c r="I360" s="211">
        <v>5000</v>
      </c>
      <c r="J360" s="211">
        <v>5000</v>
      </c>
    </row>
    <row r="361" spans="1:10" x14ac:dyDescent="0.2">
      <c r="A361" s="207">
        <v>275</v>
      </c>
      <c r="B361" s="129" t="s">
        <v>228</v>
      </c>
      <c r="C361" s="101"/>
      <c r="D361" s="101"/>
      <c r="E361" s="211">
        <v>3748.71</v>
      </c>
      <c r="F361" s="211">
        <v>5000</v>
      </c>
      <c r="G361" s="211">
        <v>4800</v>
      </c>
      <c r="H361" s="210">
        <v>5000</v>
      </c>
      <c r="I361" s="211">
        <v>5000</v>
      </c>
      <c r="J361" s="211">
        <v>5000</v>
      </c>
    </row>
    <row r="362" spans="1:10" x14ac:dyDescent="0.2">
      <c r="A362" s="207">
        <v>290</v>
      </c>
      <c r="B362" s="129" t="s">
        <v>238</v>
      </c>
      <c r="C362" s="101"/>
      <c r="D362" s="101"/>
      <c r="E362" s="211">
        <v>17099.93</v>
      </c>
      <c r="F362" s="211">
        <v>3500</v>
      </c>
      <c r="G362" s="211">
        <v>2800</v>
      </c>
      <c r="H362" s="210">
        <v>5000</v>
      </c>
      <c r="I362" s="211">
        <v>5000</v>
      </c>
      <c r="J362" s="211">
        <v>5000</v>
      </c>
    </row>
    <row r="363" spans="1:10" x14ac:dyDescent="0.2">
      <c r="A363" s="156" t="s">
        <v>298</v>
      </c>
      <c r="B363" s="156"/>
      <c r="C363" s="156"/>
      <c r="D363" s="156"/>
      <c r="E363" s="157">
        <f t="shared" ref="E363:J363" si="62">SUM(E352:E362)</f>
        <v>382236.62</v>
      </c>
      <c r="F363" s="264">
        <f t="shared" si="62"/>
        <v>385400</v>
      </c>
      <c r="G363" s="157">
        <f t="shared" si="62"/>
        <v>370200</v>
      </c>
      <c r="H363" s="157">
        <f t="shared" si="62"/>
        <v>390100</v>
      </c>
      <c r="I363" s="157">
        <f t="shared" si="62"/>
        <v>390100</v>
      </c>
      <c r="J363" s="157">
        <f t="shared" si="62"/>
        <v>390100</v>
      </c>
    </row>
    <row r="364" spans="1:10" x14ac:dyDescent="0.2">
      <c r="A364" s="159" t="s">
        <v>299</v>
      </c>
      <c r="B364" s="159"/>
      <c r="C364" s="159"/>
      <c r="D364" s="159"/>
      <c r="E364" s="160">
        <f t="shared" ref="E364:J364" si="63">SUM(E350,E363)</f>
        <v>924298.91</v>
      </c>
      <c r="F364" s="160">
        <f t="shared" si="63"/>
        <v>1043600</v>
      </c>
      <c r="G364" s="160">
        <f t="shared" si="63"/>
        <v>1013700</v>
      </c>
      <c r="H364" s="160">
        <f t="shared" si="63"/>
        <v>1024100</v>
      </c>
      <c r="I364" s="160">
        <f t="shared" si="63"/>
        <v>1070700</v>
      </c>
      <c r="J364" s="160">
        <f t="shared" si="63"/>
        <v>1083000</v>
      </c>
    </row>
    <row r="365" spans="1:10" x14ac:dyDescent="0.2">
      <c r="A365" s="129"/>
      <c r="B365" s="129"/>
      <c r="C365" s="129"/>
      <c r="D365" s="129"/>
      <c r="E365" s="129"/>
      <c r="F365" s="129"/>
      <c r="G365" s="129"/>
      <c r="H365" s="129"/>
      <c r="I365" s="129"/>
      <c r="J365" s="190"/>
    </row>
    <row r="366" spans="1:10" x14ac:dyDescent="0.2">
      <c r="A366" s="162" t="s">
        <v>15</v>
      </c>
      <c r="B366" s="162"/>
      <c r="C366" s="162"/>
      <c r="D366" s="162"/>
      <c r="E366" s="162"/>
      <c r="F366" s="162"/>
      <c r="G366" s="162"/>
      <c r="H366" s="162"/>
      <c r="I366" s="162"/>
      <c r="J366" s="162"/>
    </row>
    <row r="367" spans="1:10" ht="18.75" customHeight="1" x14ac:dyDescent="0.2">
      <c r="A367" s="131" t="s">
        <v>242</v>
      </c>
      <c r="B367" s="131"/>
      <c r="C367" s="131"/>
      <c r="D367" s="131"/>
      <c r="E367" s="128" t="str">
        <f t="shared" ref="E367:J367" si="64">E24</f>
        <v>Actuals           2014-2015</v>
      </c>
      <c r="F367" s="128" t="str">
        <f t="shared" si="64"/>
        <v>Approved Estimates          2015-2016</v>
      </c>
      <c r="G367" s="128" t="str">
        <f t="shared" si="64"/>
        <v>Revised Estimates                 2015-2016</v>
      </c>
      <c r="H367" s="128" t="str">
        <f t="shared" si="64"/>
        <v>Budget Estimates      2016-2017</v>
      </c>
      <c r="I367" s="128" t="str">
        <f t="shared" si="64"/>
        <v>Forward Estimates     2017-2018</v>
      </c>
      <c r="J367" s="128" t="str">
        <f t="shared" si="64"/>
        <v>Forward Estimates     2018-2019</v>
      </c>
    </row>
    <row r="368" spans="1:10" ht="15" customHeight="1" x14ac:dyDescent="0.2">
      <c r="A368" s="130" t="s">
        <v>243</v>
      </c>
      <c r="B368" s="130" t="s">
        <v>244</v>
      </c>
      <c r="C368" s="131" t="s">
        <v>245</v>
      </c>
      <c r="D368" s="131"/>
      <c r="E368" s="101"/>
      <c r="F368" s="101"/>
      <c r="G368" s="101"/>
      <c r="H368" s="101"/>
      <c r="I368" s="101"/>
      <c r="J368" s="101"/>
    </row>
    <row r="369" spans="1:10" x14ac:dyDescent="0.2">
      <c r="A369" s="163"/>
      <c r="B369" s="163"/>
      <c r="C369" s="156"/>
      <c r="D369" s="156"/>
      <c r="E369" s="158"/>
      <c r="F369" s="209"/>
      <c r="G369" s="158"/>
      <c r="H369" s="136"/>
      <c r="I369" s="158"/>
      <c r="J369" s="135"/>
    </row>
    <row r="370" spans="1:10" x14ac:dyDescent="0.2">
      <c r="A370" s="137" t="s">
        <v>15</v>
      </c>
      <c r="B370" s="137"/>
      <c r="C370" s="137"/>
      <c r="D370" s="137"/>
      <c r="E370" s="138">
        <v>0</v>
      </c>
      <c r="F370" s="138">
        <v>0</v>
      </c>
      <c r="G370" s="138">
        <v>0</v>
      </c>
      <c r="H370" s="138">
        <v>0</v>
      </c>
      <c r="I370" s="138">
        <v>0</v>
      </c>
      <c r="J370" s="138">
        <v>0</v>
      </c>
    </row>
    <row r="371" spans="1:10" x14ac:dyDescent="0.2">
      <c r="A371" s="290"/>
      <c r="B371" s="290"/>
      <c r="C371" s="290"/>
      <c r="D371" s="290"/>
      <c r="E371" s="290"/>
      <c r="F371" s="290"/>
      <c r="G371" s="290"/>
      <c r="H371" s="290"/>
      <c r="I371" s="290"/>
      <c r="J371" s="290"/>
    </row>
    <row r="372" spans="1:10" x14ac:dyDescent="0.2">
      <c r="A372" s="161" t="s">
        <v>288</v>
      </c>
      <c r="B372" s="161"/>
      <c r="C372" s="161"/>
      <c r="D372" s="161"/>
      <c r="E372" s="161"/>
      <c r="F372" s="202"/>
      <c r="G372" s="202"/>
      <c r="H372" s="202"/>
      <c r="I372" s="202"/>
      <c r="J372" s="202"/>
    </row>
    <row r="373" spans="1:10" x14ac:dyDescent="0.2">
      <c r="A373" s="131" t="s">
        <v>300</v>
      </c>
      <c r="B373" s="131"/>
      <c r="C373" s="131"/>
      <c r="D373" s="132" t="s">
        <v>301</v>
      </c>
      <c r="E373" s="132" t="s">
        <v>302</v>
      </c>
      <c r="F373" s="131" t="s">
        <v>300</v>
      </c>
      <c r="G373" s="131"/>
      <c r="H373" s="131"/>
      <c r="I373" s="132" t="s">
        <v>301</v>
      </c>
      <c r="J373" s="132" t="s">
        <v>302</v>
      </c>
    </row>
    <row r="374" spans="1:10" x14ac:dyDescent="0.2">
      <c r="A374" s="134" t="str">
        <f>Establishment!D254</f>
        <v>Accountant General</v>
      </c>
      <c r="B374" s="134"/>
      <c r="C374" s="134"/>
      <c r="D374" s="133" t="str">
        <f>Establishment!E254</f>
        <v>R7</v>
      </c>
      <c r="E374" s="133">
        <f>Establishment!C254</f>
        <v>1</v>
      </c>
      <c r="F374" s="134" t="str">
        <f>Establishment!D258</f>
        <v>Accounting Technician (Snr)</v>
      </c>
      <c r="G374" s="134"/>
      <c r="H374" s="134"/>
      <c r="I374" s="133" t="str">
        <f>Establishment!E258</f>
        <v>R33-29/28-22</v>
      </c>
      <c r="J374" s="133">
        <f>Establishment!C258</f>
        <v>5</v>
      </c>
    </row>
    <row r="375" spans="1:10" x14ac:dyDescent="0.2">
      <c r="A375" s="134" t="str">
        <f>Establishment!D255</f>
        <v>Deputy Accountant General</v>
      </c>
      <c r="B375" s="134"/>
      <c r="C375" s="134"/>
      <c r="D375" s="133" t="str">
        <f>Establishment!E255</f>
        <v>R17-13/14-10</v>
      </c>
      <c r="E375" s="133">
        <f>Establishment!C255</f>
        <v>1</v>
      </c>
      <c r="F375" s="134" t="str">
        <f>Establishment!D259</f>
        <v>Accounting Technician</v>
      </c>
      <c r="G375" s="134"/>
      <c r="H375" s="134"/>
      <c r="I375" s="133" t="str">
        <f>Establishment!E259</f>
        <v>R46-34/33-29</v>
      </c>
      <c r="J375" s="133">
        <f>Establishment!C259</f>
        <v>1</v>
      </c>
    </row>
    <row r="376" spans="1:10" x14ac:dyDescent="0.2">
      <c r="A376" s="134" t="str">
        <f>Establishment!D256</f>
        <v>Accountant</v>
      </c>
      <c r="B376" s="134"/>
      <c r="C376" s="134"/>
      <c r="D376" s="133" t="str">
        <f>Establishment!E256</f>
        <v>R22-16/17-13</v>
      </c>
      <c r="E376" s="133">
        <f>Establishment!C256</f>
        <v>2</v>
      </c>
      <c r="F376" s="134" t="str">
        <f>Establishment!D260</f>
        <v>Clerical Officer (Snr)</v>
      </c>
      <c r="G376" s="134"/>
      <c r="H376" s="134"/>
      <c r="I376" s="133" t="str">
        <f>Establishment!E260</f>
        <v>R33-29</v>
      </c>
      <c r="J376" s="133">
        <f>Establishment!C260</f>
        <v>1</v>
      </c>
    </row>
    <row r="377" spans="1:10" x14ac:dyDescent="0.2">
      <c r="A377" s="134" t="str">
        <f>Establishment!D257</f>
        <v>Assistant Accountant</v>
      </c>
      <c r="B377" s="134"/>
      <c r="C377" s="134"/>
      <c r="D377" s="133" t="str">
        <f>Establishment!E257</f>
        <v>R28-22/22-16</v>
      </c>
      <c r="E377" s="133">
        <f>Establishment!C257</f>
        <v>2</v>
      </c>
      <c r="F377" s="134" t="str">
        <f>Establishment!D261</f>
        <v>Office Attendant</v>
      </c>
      <c r="G377" s="134"/>
      <c r="H377" s="134"/>
      <c r="I377" s="133" t="str">
        <f>Establishment!E261</f>
        <v>R51-45</v>
      </c>
      <c r="J377" s="133">
        <f>Establishment!C261</f>
        <v>1</v>
      </c>
    </row>
    <row r="378" spans="1:10" ht="14.25" customHeight="1" x14ac:dyDescent="0.2">
      <c r="A378" s="203" t="s">
        <v>303</v>
      </c>
      <c r="B378" s="203"/>
      <c r="C378" s="203"/>
      <c r="D378" s="203"/>
      <c r="E378" s="203"/>
      <c r="F378" s="203"/>
      <c r="G378" s="203"/>
      <c r="H378" s="203"/>
      <c r="I378" s="203"/>
      <c r="J378" s="204">
        <f>SUM(E374:E377,J374:J377)</f>
        <v>14</v>
      </c>
    </row>
    <row r="379" spans="1:10" x14ac:dyDescent="0.2">
      <c r="A379" s="129"/>
      <c r="B379" s="129"/>
      <c r="C379" s="129"/>
      <c r="D379" s="129"/>
      <c r="E379" s="129"/>
      <c r="F379" s="179"/>
      <c r="G379" s="179"/>
      <c r="H379" s="179"/>
      <c r="I379" s="179"/>
      <c r="J379" s="179"/>
    </row>
    <row r="380" spans="1:10" x14ac:dyDescent="0.2">
      <c r="A380" s="180" t="s">
        <v>304</v>
      </c>
      <c r="B380" s="180"/>
      <c r="C380" s="180"/>
      <c r="D380" s="180"/>
      <c r="E380" s="180"/>
      <c r="F380" s="180"/>
      <c r="G380" s="180"/>
      <c r="H380" s="180"/>
      <c r="I380" s="180"/>
      <c r="J380" s="180"/>
    </row>
    <row r="381" spans="1:10" x14ac:dyDescent="0.2">
      <c r="A381" s="181" t="s">
        <v>305</v>
      </c>
      <c r="B381" s="181"/>
      <c r="C381" s="181"/>
      <c r="D381" s="181"/>
      <c r="E381" s="181"/>
      <c r="F381" s="181"/>
      <c r="G381" s="181"/>
      <c r="H381" s="181"/>
      <c r="I381" s="181"/>
      <c r="J381" s="181"/>
    </row>
    <row r="382" spans="1:10" x14ac:dyDescent="0.2">
      <c r="A382" s="414" t="s">
        <v>1152</v>
      </c>
      <c r="B382" s="414"/>
      <c r="C382" s="414"/>
      <c r="D382" s="414"/>
      <c r="E382" s="414"/>
      <c r="F382" s="414"/>
      <c r="G382" s="414"/>
      <c r="H382" s="414"/>
      <c r="I382" s="414"/>
      <c r="J382" s="414"/>
    </row>
    <row r="383" spans="1:10" ht="25.5" customHeight="1" x14ac:dyDescent="0.2">
      <c r="A383" s="356" t="s">
        <v>1153</v>
      </c>
      <c r="B383" s="356"/>
      <c r="C383" s="356"/>
      <c r="D383" s="356"/>
      <c r="E383" s="356"/>
      <c r="F383" s="356"/>
      <c r="G383" s="356"/>
      <c r="H383" s="356"/>
      <c r="I383" s="356"/>
      <c r="J383" s="356"/>
    </row>
    <row r="384" spans="1:10" x14ac:dyDescent="0.2">
      <c r="A384" s="414" t="s">
        <v>1154</v>
      </c>
      <c r="B384" s="414"/>
      <c r="C384" s="414"/>
      <c r="D384" s="414"/>
      <c r="E384" s="414"/>
      <c r="F384" s="414"/>
      <c r="G384" s="414"/>
      <c r="H384" s="414"/>
      <c r="I384" s="414"/>
      <c r="J384" s="414"/>
    </row>
    <row r="385" spans="1:10" x14ac:dyDescent="0.2">
      <c r="A385" s="129"/>
      <c r="B385" s="129"/>
      <c r="C385" s="129"/>
      <c r="D385" s="129"/>
      <c r="E385" s="129"/>
      <c r="F385" s="129"/>
      <c r="G385" s="129"/>
      <c r="H385" s="129"/>
      <c r="I385" s="129"/>
      <c r="J385" s="129"/>
    </row>
    <row r="386" spans="1:10" x14ac:dyDescent="0.2">
      <c r="A386" s="183" t="s">
        <v>415</v>
      </c>
      <c r="B386" s="183"/>
      <c r="C386" s="183"/>
      <c r="D386" s="183"/>
      <c r="E386" s="183"/>
      <c r="F386" s="183"/>
      <c r="G386" s="183"/>
      <c r="H386" s="183"/>
      <c r="I386" s="183"/>
      <c r="J386" s="183"/>
    </row>
    <row r="387" spans="1:10" x14ac:dyDescent="0.2">
      <c r="A387" s="129"/>
      <c r="B387" s="129"/>
      <c r="C387" s="129"/>
      <c r="D387" s="129"/>
      <c r="E387" s="129"/>
      <c r="F387" s="129"/>
      <c r="G387" s="129"/>
      <c r="H387" s="129"/>
      <c r="I387" s="129"/>
      <c r="J387" s="129"/>
    </row>
    <row r="388" spans="1:10" x14ac:dyDescent="0.2">
      <c r="A388" s="129"/>
      <c r="B388" s="129"/>
      <c r="C388" s="129"/>
      <c r="D388" s="129"/>
      <c r="E388" s="129"/>
      <c r="F388" s="129"/>
      <c r="G388" s="129"/>
      <c r="H388" s="129"/>
      <c r="I388" s="129"/>
      <c r="J388" s="129"/>
    </row>
    <row r="389" spans="1:10" ht="22.5" x14ac:dyDescent="0.2">
      <c r="A389" s="180" t="s">
        <v>315</v>
      </c>
      <c r="B389" s="180"/>
      <c r="C389" s="180"/>
      <c r="D389" s="180"/>
      <c r="E389" s="180"/>
      <c r="F389" s="184" t="str">
        <f>F146</f>
        <v xml:space="preserve"> Actual 2014-2015</v>
      </c>
      <c r="G389" s="184" t="str">
        <f>G146</f>
        <v xml:space="preserve"> Estimate 2015-2016</v>
      </c>
      <c r="H389" s="184" t="str">
        <f>H146</f>
        <v xml:space="preserve"> Target 2016-2017</v>
      </c>
      <c r="I389" s="184" t="str">
        <f>I146</f>
        <v xml:space="preserve"> Target 2017-2018</v>
      </c>
      <c r="J389" s="184" t="str">
        <f>J146</f>
        <v xml:space="preserve"> Target 2018-2019</v>
      </c>
    </row>
    <row r="390" spans="1:10" x14ac:dyDescent="0.2">
      <c r="A390" s="180" t="s">
        <v>316</v>
      </c>
      <c r="B390" s="180"/>
      <c r="C390" s="180"/>
      <c r="D390" s="180"/>
      <c r="E390" s="180"/>
      <c r="F390" s="180"/>
      <c r="G390" s="180"/>
      <c r="H390" s="180"/>
      <c r="I390" s="180"/>
      <c r="J390" s="180"/>
    </row>
    <row r="391" spans="1:10" x14ac:dyDescent="0.2">
      <c r="A391" s="414" t="s">
        <v>1155</v>
      </c>
      <c r="B391" s="414"/>
      <c r="C391" s="414"/>
      <c r="D391" s="414"/>
      <c r="E391" s="414"/>
      <c r="F391" s="273"/>
      <c r="G391" s="191" t="s">
        <v>948</v>
      </c>
      <c r="H391" s="191">
        <v>1</v>
      </c>
      <c r="I391" s="191">
        <v>1</v>
      </c>
      <c r="J391" s="191">
        <v>1</v>
      </c>
    </row>
    <row r="392" spans="1:10" x14ac:dyDescent="0.2">
      <c r="A392" s="414" t="s">
        <v>1156</v>
      </c>
      <c r="B392" s="414"/>
      <c r="C392" s="414"/>
      <c r="D392" s="414"/>
      <c r="E392" s="414"/>
      <c r="F392" s="273"/>
      <c r="G392" s="191" t="s">
        <v>1157</v>
      </c>
      <c r="H392" s="191">
        <v>84</v>
      </c>
      <c r="I392" s="191">
        <v>84</v>
      </c>
      <c r="J392" s="191">
        <v>84</v>
      </c>
    </row>
    <row r="393" spans="1:10" x14ac:dyDescent="0.2">
      <c r="A393" s="188"/>
      <c r="B393" s="188"/>
      <c r="C393" s="188"/>
      <c r="D393" s="188"/>
      <c r="E393" s="188"/>
      <c r="F393" s="273"/>
      <c r="G393" s="190"/>
      <c r="H393" s="190"/>
      <c r="I393" s="190"/>
      <c r="J393" s="190"/>
    </row>
    <row r="394" spans="1:10" x14ac:dyDescent="0.2">
      <c r="A394" s="180" t="s">
        <v>1158</v>
      </c>
      <c r="B394" s="180"/>
      <c r="C394" s="180"/>
      <c r="D394" s="180"/>
      <c r="E394" s="180"/>
      <c r="F394" s="180"/>
      <c r="G394" s="180"/>
      <c r="H394" s="180"/>
      <c r="I394" s="180"/>
      <c r="J394" s="180"/>
    </row>
    <row r="395" spans="1:10" x14ac:dyDescent="0.2">
      <c r="A395" s="414" t="s">
        <v>1159</v>
      </c>
      <c r="B395" s="414"/>
      <c r="C395" s="414"/>
      <c r="D395" s="414"/>
      <c r="E395" s="414"/>
      <c r="F395" s="191"/>
      <c r="G395" s="191" t="s">
        <v>1160</v>
      </c>
      <c r="H395" s="191" t="s">
        <v>1161</v>
      </c>
      <c r="I395" s="191" t="s">
        <v>1161</v>
      </c>
      <c r="J395" s="191" t="s">
        <v>1161</v>
      </c>
    </row>
    <row r="396" spans="1:10" x14ac:dyDescent="0.2">
      <c r="A396" s="414" t="s">
        <v>1162</v>
      </c>
      <c r="B396" s="414"/>
      <c r="C396" s="414"/>
      <c r="D396" s="414"/>
      <c r="E396" s="414"/>
      <c r="F396" s="191"/>
      <c r="G396" s="191" t="s">
        <v>1163</v>
      </c>
      <c r="H396" s="191" t="s">
        <v>1164</v>
      </c>
      <c r="I396" s="191" t="s">
        <v>1164</v>
      </c>
      <c r="J396" s="191" t="s">
        <v>1164</v>
      </c>
    </row>
    <row r="397" spans="1:10" x14ac:dyDescent="0.2">
      <c r="A397" s="414" t="s">
        <v>1165</v>
      </c>
      <c r="B397" s="414"/>
      <c r="C397" s="414"/>
      <c r="D397" s="414"/>
      <c r="E397" s="414"/>
      <c r="F397" s="191"/>
      <c r="G397" s="191" t="s">
        <v>1166</v>
      </c>
      <c r="H397" s="191" t="s">
        <v>1167</v>
      </c>
      <c r="I397" s="191" t="s">
        <v>1167</v>
      </c>
      <c r="J397" s="191" t="s">
        <v>1167</v>
      </c>
    </row>
    <row r="398" spans="1:10" x14ac:dyDescent="0.2">
      <c r="A398" s="129"/>
      <c r="B398" s="129"/>
      <c r="C398" s="129"/>
      <c r="D398" s="129"/>
      <c r="E398" s="129"/>
      <c r="F398" s="129"/>
      <c r="G398" s="129"/>
      <c r="H398" s="129"/>
      <c r="I398" s="129"/>
      <c r="J398" s="129"/>
    </row>
    <row r="399" spans="1:10" x14ac:dyDescent="0.2">
      <c r="A399" s="150" t="s">
        <v>1168</v>
      </c>
      <c r="B399" s="150"/>
      <c r="C399" s="150"/>
      <c r="D399" s="150"/>
      <c r="E399" s="150"/>
      <c r="F399" s="150"/>
      <c r="G399" s="150"/>
      <c r="H399" s="150"/>
      <c r="I399" s="150"/>
      <c r="J399" s="150"/>
    </row>
    <row r="400" spans="1:10" x14ac:dyDescent="0.2">
      <c r="A400" s="151" t="s">
        <v>291</v>
      </c>
      <c r="B400" s="151"/>
      <c r="C400" s="151"/>
      <c r="D400" s="101"/>
      <c r="E400" s="101"/>
      <c r="F400" s="101"/>
      <c r="G400" s="101"/>
      <c r="H400" s="101"/>
      <c r="I400" s="101"/>
      <c r="J400" s="101"/>
    </row>
    <row r="401" spans="1:10" x14ac:dyDescent="0.2">
      <c r="A401" s="129" t="s">
        <v>1169</v>
      </c>
      <c r="B401" s="129"/>
      <c r="C401" s="129"/>
      <c r="D401" s="129"/>
      <c r="E401" s="129"/>
      <c r="F401" s="129"/>
      <c r="G401" s="129"/>
      <c r="H401" s="129"/>
      <c r="I401" s="129"/>
      <c r="J401" s="129"/>
    </row>
    <row r="402" spans="1:10" ht="12.6" customHeight="1" x14ac:dyDescent="0.2">
      <c r="A402" s="128" t="s">
        <v>293</v>
      </c>
      <c r="B402" s="128"/>
      <c r="C402" s="128"/>
      <c r="D402" s="128"/>
      <c r="E402" s="128"/>
      <c r="F402" s="128"/>
      <c r="G402" s="128"/>
      <c r="H402" s="128"/>
      <c r="I402" s="128"/>
      <c r="J402" s="128"/>
    </row>
    <row r="403" spans="1:10" ht="33.75" x14ac:dyDescent="0.2">
      <c r="A403" s="152" t="s">
        <v>243</v>
      </c>
      <c r="B403" s="151" t="s">
        <v>242</v>
      </c>
      <c r="C403" s="151"/>
      <c r="D403" s="151"/>
      <c r="E403" s="132" t="str">
        <f t="shared" ref="E403:J403" si="65">E24</f>
        <v>Actuals           2014-2015</v>
      </c>
      <c r="F403" s="132" t="str">
        <f t="shared" si="65"/>
        <v>Approved Estimates          2015-2016</v>
      </c>
      <c r="G403" s="132" t="str">
        <f t="shared" si="65"/>
        <v>Revised Estimates                 2015-2016</v>
      </c>
      <c r="H403" s="132" t="str">
        <f t="shared" si="65"/>
        <v>Budget Estimates      2016-2017</v>
      </c>
      <c r="I403" s="132" t="str">
        <f t="shared" si="65"/>
        <v>Forward Estimates     2017-2018</v>
      </c>
      <c r="J403" s="132" t="str">
        <f t="shared" si="65"/>
        <v>Forward Estimates     2018-2019</v>
      </c>
    </row>
    <row r="404" spans="1:10" x14ac:dyDescent="0.2">
      <c r="A404" s="207">
        <v>110</v>
      </c>
      <c r="B404" s="129" t="s">
        <v>1170</v>
      </c>
      <c r="C404" s="101"/>
      <c r="D404" s="101"/>
      <c r="E404" s="211">
        <v>2799169.1399999997</v>
      </c>
      <c r="F404" s="211">
        <v>3218400</v>
      </c>
      <c r="G404" s="211">
        <v>3381800</v>
      </c>
      <c r="H404" s="210">
        <v>3259600</v>
      </c>
      <c r="I404" s="211">
        <v>3321700</v>
      </c>
      <c r="J404" s="211">
        <v>3393500</v>
      </c>
    </row>
    <row r="405" spans="1:10" x14ac:dyDescent="0.2">
      <c r="A405" s="207">
        <v>110</v>
      </c>
      <c r="B405" s="129" t="s">
        <v>1171</v>
      </c>
      <c r="C405" s="101"/>
      <c r="D405" s="101"/>
      <c r="E405" s="211">
        <v>12096571.890000001</v>
      </c>
      <c r="F405" s="211">
        <v>12057600</v>
      </c>
      <c r="G405" s="211">
        <v>11418700</v>
      </c>
      <c r="H405" s="210">
        <v>12287400</v>
      </c>
      <c r="I405" s="211">
        <v>12553100</v>
      </c>
      <c r="J405" s="211">
        <v>12827800</v>
      </c>
    </row>
    <row r="406" spans="1:10" x14ac:dyDescent="0.2">
      <c r="A406" s="207">
        <v>110</v>
      </c>
      <c r="B406" s="129" t="s">
        <v>1172</v>
      </c>
      <c r="C406" s="101"/>
      <c r="D406" s="101"/>
      <c r="E406" s="211">
        <v>848359.62999999989</v>
      </c>
      <c r="F406" s="211">
        <v>800000</v>
      </c>
      <c r="G406" s="211">
        <v>814200</v>
      </c>
      <c r="H406" s="210">
        <v>800000</v>
      </c>
      <c r="I406" s="211">
        <v>800000</v>
      </c>
      <c r="J406" s="211">
        <v>800000</v>
      </c>
    </row>
    <row r="407" spans="1:10" x14ac:dyDescent="0.2">
      <c r="A407" s="207">
        <v>115</v>
      </c>
      <c r="B407" s="129" t="s">
        <v>20</v>
      </c>
      <c r="C407" s="101"/>
      <c r="D407" s="101"/>
      <c r="E407" s="211">
        <v>708911.77999999991</v>
      </c>
      <c r="F407" s="211">
        <v>910000</v>
      </c>
      <c r="G407" s="211">
        <v>737800</v>
      </c>
      <c r="H407" s="210">
        <v>920000</v>
      </c>
      <c r="I407" s="211">
        <v>930000</v>
      </c>
      <c r="J407" s="211">
        <v>930000</v>
      </c>
    </row>
    <row r="408" spans="1:10" x14ac:dyDescent="0.2">
      <c r="A408" s="207">
        <v>120</v>
      </c>
      <c r="B408" s="129" t="s">
        <v>1173</v>
      </c>
      <c r="C408" s="101"/>
      <c r="D408" s="101"/>
      <c r="E408" s="211">
        <v>35308.130000000005</v>
      </c>
      <c r="F408" s="211">
        <v>45000</v>
      </c>
      <c r="G408" s="211">
        <v>40600</v>
      </c>
      <c r="H408" s="210">
        <v>55000</v>
      </c>
      <c r="I408" s="211">
        <v>65000</v>
      </c>
      <c r="J408" s="211">
        <v>65000</v>
      </c>
    </row>
    <row r="409" spans="1:10" x14ac:dyDescent="0.2">
      <c r="A409" s="207">
        <v>120</v>
      </c>
      <c r="B409" s="129" t="s">
        <v>1174</v>
      </c>
      <c r="C409" s="101"/>
      <c r="D409" s="101"/>
      <c r="E409" s="211">
        <v>224305.26</v>
      </c>
      <c r="F409" s="211">
        <v>210000</v>
      </c>
      <c r="G409" s="211">
        <v>209400</v>
      </c>
      <c r="H409" s="210">
        <v>217000</v>
      </c>
      <c r="I409" s="211">
        <v>226800</v>
      </c>
      <c r="J409" s="211">
        <v>237600</v>
      </c>
    </row>
    <row r="410" spans="1:10" x14ac:dyDescent="0.2">
      <c r="A410" s="207">
        <v>120</v>
      </c>
      <c r="B410" s="129" t="s">
        <v>1175</v>
      </c>
      <c r="C410" s="101"/>
      <c r="D410" s="101"/>
      <c r="E410" s="211">
        <v>383590.18</v>
      </c>
      <c r="F410" s="211">
        <v>389600</v>
      </c>
      <c r="G410" s="211">
        <v>415300</v>
      </c>
      <c r="H410" s="210">
        <v>389600</v>
      </c>
      <c r="I410" s="211">
        <v>389600</v>
      </c>
      <c r="J410" s="211">
        <v>389600</v>
      </c>
    </row>
    <row r="411" spans="1:10" x14ac:dyDescent="0.2">
      <c r="A411" s="207">
        <v>125</v>
      </c>
      <c r="B411" s="129" t="s">
        <v>1176</v>
      </c>
      <c r="C411" s="101"/>
      <c r="D411" s="101"/>
      <c r="E411" s="211">
        <v>6047032.7200000007</v>
      </c>
      <c r="F411" s="211">
        <v>6050000</v>
      </c>
      <c r="G411" s="211">
        <v>6121400</v>
      </c>
      <c r="H411" s="210">
        <v>6165300</v>
      </c>
      <c r="I411" s="211">
        <v>6298600</v>
      </c>
      <c r="J411" s="211">
        <v>6436400</v>
      </c>
    </row>
    <row r="412" spans="1:10" x14ac:dyDescent="0.2">
      <c r="A412" s="207">
        <v>125</v>
      </c>
      <c r="B412" s="129" t="s">
        <v>1177</v>
      </c>
      <c r="C412" s="101"/>
      <c r="D412" s="101"/>
      <c r="E412" s="211">
        <v>10993772.699999999</v>
      </c>
      <c r="F412" s="211">
        <v>11326300</v>
      </c>
      <c r="G412" s="211">
        <v>10883600</v>
      </c>
      <c r="H412" s="210">
        <v>11542200</v>
      </c>
      <c r="I412" s="211">
        <v>11791800</v>
      </c>
      <c r="J412" s="211">
        <v>12049800</v>
      </c>
    </row>
    <row r="413" spans="1:10" x14ac:dyDescent="0.2">
      <c r="A413" s="207">
        <v>125</v>
      </c>
      <c r="B413" s="129" t="s">
        <v>1178</v>
      </c>
      <c r="C413" s="101"/>
      <c r="D413" s="101"/>
      <c r="E413" s="211">
        <v>0</v>
      </c>
      <c r="F413" s="211">
        <v>0</v>
      </c>
      <c r="G413" s="211">
        <v>0</v>
      </c>
      <c r="H413" s="210">
        <v>0</v>
      </c>
      <c r="I413" s="211">
        <v>0</v>
      </c>
      <c r="J413" s="211">
        <v>0</v>
      </c>
    </row>
    <row r="414" spans="1:10" x14ac:dyDescent="0.2">
      <c r="A414" s="207">
        <v>125</v>
      </c>
      <c r="B414" s="129" t="s">
        <v>1179</v>
      </c>
      <c r="C414" s="101"/>
      <c r="D414" s="101"/>
      <c r="E414" s="211">
        <v>1002450.99</v>
      </c>
      <c r="F414" s="211">
        <v>910000</v>
      </c>
      <c r="G414" s="211">
        <v>1045900</v>
      </c>
      <c r="H414" s="210">
        <v>910000</v>
      </c>
      <c r="I414" s="211">
        <v>910000</v>
      </c>
      <c r="J414" s="211">
        <v>910000</v>
      </c>
    </row>
    <row r="415" spans="1:10" s="431" customFormat="1" ht="11.45" customHeight="1" x14ac:dyDescent="0.25">
      <c r="A415" s="427">
        <v>125</v>
      </c>
      <c r="B415" s="151" t="s">
        <v>1180</v>
      </c>
      <c r="C415" s="428"/>
      <c r="D415" s="428"/>
      <c r="E415" s="429">
        <v>0</v>
      </c>
      <c r="F415" s="429">
        <v>0</v>
      </c>
      <c r="G415" s="429">
        <v>0</v>
      </c>
      <c r="H415" s="430">
        <v>0</v>
      </c>
      <c r="I415" s="429">
        <v>0</v>
      </c>
      <c r="J415" s="429">
        <v>0</v>
      </c>
    </row>
    <row r="416" spans="1:10" x14ac:dyDescent="0.2">
      <c r="A416" s="207">
        <v>129</v>
      </c>
      <c r="B416" s="129" t="s">
        <v>24</v>
      </c>
      <c r="C416" s="101"/>
      <c r="D416" s="101"/>
      <c r="E416" s="211">
        <v>1070513.6599999999</v>
      </c>
      <c r="F416" s="211">
        <v>970000</v>
      </c>
      <c r="G416" s="211">
        <v>707100</v>
      </c>
      <c r="H416" s="210">
        <v>940000</v>
      </c>
      <c r="I416" s="211">
        <v>940000</v>
      </c>
      <c r="J416" s="211">
        <v>940000</v>
      </c>
    </row>
    <row r="417" spans="1:10" x14ac:dyDescent="0.2">
      <c r="A417" s="207">
        <v>130</v>
      </c>
      <c r="B417" s="129" t="s">
        <v>1181</v>
      </c>
      <c r="C417" s="101"/>
      <c r="D417" s="101"/>
      <c r="E417" s="211">
        <v>10250</v>
      </c>
      <c r="F417" s="211">
        <v>3600</v>
      </c>
      <c r="G417" s="211">
        <v>6600</v>
      </c>
      <c r="H417" s="210">
        <v>3600</v>
      </c>
      <c r="I417" s="211">
        <v>3600</v>
      </c>
      <c r="J417" s="211">
        <v>3600</v>
      </c>
    </row>
    <row r="418" spans="1:10" x14ac:dyDescent="0.2">
      <c r="A418" s="207">
        <v>130</v>
      </c>
      <c r="B418" s="129" t="s">
        <v>1182</v>
      </c>
      <c r="C418" s="101"/>
      <c r="D418" s="101"/>
      <c r="E418" s="211">
        <v>219935.16</v>
      </c>
      <c r="F418" s="211">
        <v>150000</v>
      </c>
      <c r="G418" s="211">
        <v>223300</v>
      </c>
      <c r="H418" s="210">
        <f>150000+50000+37000</f>
        <v>237000</v>
      </c>
      <c r="I418" s="211">
        <f t="shared" ref="I418:J418" si="66">150000+50000+37000</f>
        <v>237000</v>
      </c>
      <c r="J418" s="211">
        <f t="shared" si="66"/>
        <v>237000</v>
      </c>
    </row>
    <row r="419" spans="1:10" x14ac:dyDescent="0.2">
      <c r="A419" s="207">
        <v>130</v>
      </c>
      <c r="B419" s="129" t="s">
        <v>1183</v>
      </c>
      <c r="C419" s="101"/>
      <c r="D419" s="101"/>
      <c r="E419" s="211">
        <v>0</v>
      </c>
      <c r="F419" s="211">
        <v>0</v>
      </c>
      <c r="G419" s="211">
        <v>1000</v>
      </c>
      <c r="H419" s="210">
        <v>0</v>
      </c>
      <c r="I419" s="211">
        <v>0</v>
      </c>
      <c r="J419" s="211">
        <v>0</v>
      </c>
    </row>
    <row r="420" spans="1:10" x14ac:dyDescent="0.2">
      <c r="A420" s="207">
        <v>130</v>
      </c>
      <c r="B420" s="129" t="s">
        <v>1184</v>
      </c>
      <c r="C420" s="101"/>
      <c r="D420" s="101"/>
      <c r="E420" s="211">
        <v>0</v>
      </c>
      <c r="F420" s="211">
        <v>0</v>
      </c>
      <c r="G420" s="211">
        <v>0</v>
      </c>
      <c r="H420" s="210">
        <v>0</v>
      </c>
      <c r="I420" s="211">
        <v>0</v>
      </c>
      <c r="J420" s="211">
        <v>0</v>
      </c>
    </row>
    <row r="421" spans="1:10" x14ac:dyDescent="0.2">
      <c r="A421" s="207">
        <v>135</v>
      </c>
      <c r="B421" s="129" t="s">
        <v>1185</v>
      </c>
      <c r="C421" s="101" t="s">
        <v>1185</v>
      </c>
      <c r="D421" s="101" t="s">
        <v>1185</v>
      </c>
      <c r="E421" s="211">
        <v>0</v>
      </c>
      <c r="F421" s="211">
        <v>200000</v>
      </c>
      <c r="G421" s="211">
        <v>507000</v>
      </c>
      <c r="H421" s="210">
        <f>200000+150000</f>
        <v>350000</v>
      </c>
      <c r="I421" s="211">
        <f t="shared" ref="I421:J421" si="67">200000+150000</f>
        <v>350000</v>
      </c>
      <c r="J421" s="211">
        <f t="shared" si="67"/>
        <v>350000</v>
      </c>
    </row>
    <row r="422" spans="1:10" x14ac:dyDescent="0.2">
      <c r="A422" s="207">
        <v>160</v>
      </c>
      <c r="B422" s="129" t="s">
        <v>1186</v>
      </c>
      <c r="C422" s="101"/>
      <c r="D422" s="101"/>
      <c r="E422" s="211">
        <v>0</v>
      </c>
      <c r="F422" s="211">
        <v>0</v>
      </c>
      <c r="G422" s="211">
        <v>7000</v>
      </c>
      <c r="H422" s="210">
        <v>0</v>
      </c>
      <c r="I422" s="211">
        <v>0</v>
      </c>
      <c r="J422" s="211">
        <v>0</v>
      </c>
    </row>
    <row r="423" spans="1:10" x14ac:dyDescent="0.2">
      <c r="A423" s="207">
        <v>160</v>
      </c>
      <c r="B423" s="129" t="s">
        <v>466</v>
      </c>
      <c r="C423" s="101"/>
      <c r="D423" s="101"/>
      <c r="E423" s="211">
        <v>15000</v>
      </c>
      <c r="F423" s="211">
        <v>0</v>
      </c>
      <c r="G423" s="211">
        <v>0</v>
      </c>
      <c r="H423" s="210">
        <v>0</v>
      </c>
      <c r="I423" s="211">
        <v>0</v>
      </c>
      <c r="J423" s="211">
        <v>0</v>
      </c>
    </row>
    <row r="424" spans="1:10" ht="11.25" customHeight="1" x14ac:dyDescent="0.2">
      <c r="A424" s="137" t="s">
        <v>1027</v>
      </c>
      <c r="B424" s="137"/>
      <c r="C424" s="137"/>
      <c r="D424" s="137"/>
      <c r="E424" s="138">
        <f t="shared" ref="E424:J424" si="68">SUM(E404:E423)</f>
        <v>36455171.240000002</v>
      </c>
      <c r="F424" s="138">
        <f t="shared" si="68"/>
        <v>37240500</v>
      </c>
      <c r="G424" s="138">
        <f t="shared" si="68"/>
        <v>36520700</v>
      </c>
      <c r="H424" s="138">
        <f t="shared" si="68"/>
        <v>38076700</v>
      </c>
      <c r="I424" s="138">
        <f t="shared" si="68"/>
        <v>38817200</v>
      </c>
      <c r="J424" s="138">
        <f t="shared" si="68"/>
        <v>39570300</v>
      </c>
    </row>
    <row r="425" spans="1:10" ht="6" customHeight="1" x14ac:dyDescent="0.2">
      <c r="A425" s="129"/>
      <c r="B425" s="129"/>
      <c r="C425" s="129"/>
      <c r="D425" s="129"/>
      <c r="E425" s="129"/>
      <c r="F425" s="129"/>
      <c r="G425" s="129"/>
      <c r="H425" s="129"/>
      <c r="I425" s="129"/>
      <c r="J425" s="129"/>
    </row>
    <row r="426" spans="1:10" ht="10.9" customHeight="1" x14ac:dyDescent="0.2">
      <c r="A426" s="128" t="s">
        <v>284</v>
      </c>
      <c r="B426" s="128"/>
      <c r="C426" s="128"/>
      <c r="D426" s="128"/>
      <c r="E426" s="128"/>
      <c r="F426" s="128"/>
      <c r="G426" s="128"/>
      <c r="H426" s="128"/>
      <c r="I426" s="128"/>
      <c r="J426" s="128"/>
    </row>
    <row r="427" spans="1:10" ht="33.75" x14ac:dyDescent="0.2">
      <c r="A427" s="152" t="s">
        <v>243</v>
      </c>
      <c r="B427" s="151" t="s">
        <v>242</v>
      </c>
      <c r="C427" s="151"/>
      <c r="D427" s="151"/>
      <c r="E427" s="132" t="str">
        <f t="shared" ref="E427:J427" si="69">E24</f>
        <v>Actuals           2014-2015</v>
      </c>
      <c r="F427" s="132" t="str">
        <f t="shared" si="69"/>
        <v>Approved Estimates          2015-2016</v>
      </c>
      <c r="G427" s="132" t="str">
        <f t="shared" si="69"/>
        <v>Revised Estimates                 2015-2016</v>
      </c>
      <c r="H427" s="132" t="str">
        <f t="shared" si="69"/>
        <v>Budget Estimates      2016-2017</v>
      </c>
      <c r="I427" s="132" t="str">
        <f t="shared" si="69"/>
        <v>Forward Estimates     2017-2018</v>
      </c>
      <c r="J427" s="132" t="str">
        <f t="shared" si="69"/>
        <v>Forward Estimates     2018-2019</v>
      </c>
    </row>
    <row r="428" spans="1:10" ht="12" customHeight="1" x14ac:dyDescent="0.2">
      <c r="A428" s="151" t="s">
        <v>7</v>
      </c>
      <c r="B428" s="151"/>
      <c r="C428" s="151"/>
      <c r="D428" s="151"/>
      <c r="E428" s="151"/>
      <c r="F428" s="151"/>
      <c r="G428" s="151"/>
      <c r="H428" s="151"/>
      <c r="I428" s="151"/>
      <c r="J428" s="190"/>
    </row>
    <row r="429" spans="1:10" x14ac:dyDescent="0.2">
      <c r="A429" s="207">
        <v>210</v>
      </c>
      <c r="B429" s="129" t="s">
        <v>7</v>
      </c>
      <c r="C429" s="101"/>
      <c r="D429" s="101"/>
      <c r="E429" s="211">
        <v>1577189.53</v>
      </c>
      <c r="F429" s="211">
        <v>1723300</v>
      </c>
      <c r="G429" s="211">
        <v>1723400</v>
      </c>
      <c r="H429" s="210">
        <v>1789100</v>
      </c>
      <c r="I429" s="211">
        <v>1906800</v>
      </c>
      <c r="J429" s="211">
        <v>1944700</v>
      </c>
    </row>
    <row r="430" spans="1:10" x14ac:dyDescent="0.2">
      <c r="A430" s="207">
        <v>212</v>
      </c>
      <c r="B430" s="129" t="s">
        <v>9</v>
      </c>
      <c r="C430" s="101"/>
      <c r="D430" s="101"/>
      <c r="E430" s="211">
        <v>0</v>
      </c>
      <c r="F430" s="211">
        <v>0</v>
      </c>
      <c r="G430" s="211">
        <v>0</v>
      </c>
      <c r="H430" s="210">
        <v>0</v>
      </c>
      <c r="I430" s="211">
        <v>0</v>
      </c>
      <c r="J430" s="211">
        <v>0</v>
      </c>
    </row>
    <row r="431" spans="1:10" x14ac:dyDescent="0.2">
      <c r="A431" s="207">
        <v>216</v>
      </c>
      <c r="B431" s="129" t="s">
        <v>10</v>
      </c>
      <c r="C431" s="101"/>
      <c r="D431" s="101"/>
      <c r="E431" s="211">
        <v>333562.03000000003</v>
      </c>
      <c r="F431" s="211">
        <v>365700</v>
      </c>
      <c r="G431" s="211">
        <v>365200</v>
      </c>
      <c r="H431" s="210">
        <v>388200</v>
      </c>
      <c r="I431" s="211">
        <v>375600</v>
      </c>
      <c r="J431" s="211">
        <v>375600</v>
      </c>
    </row>
    <row r="432" spans="1:10" x14ac:dyDescent="0.2">
      <c r="A432" s="207">
        <v>218</v>
      </c>
      <c r="B432" s="129" t="s">
        <v>294</v>
      </c>
      <c r="C432" s="101"/>
      <c r="D432" s="101"/>
      <c r="E432" s="211">
        <v>4368</v>
      </c>
      <c r="F432" s="211">
        <v>9400</v>
      </c>
      <c r="G432" s="211">
        <v>9400</v>
      </c>
      <c r="H432" s="210">
        <v>0</v>
      </c>
      <c r="I432" s="211">
        <v>9400</v>
      </c>
      <c r="J432" s="211">
        <v>0</v>
      </c>
    </row>
    <row r="433" spans="1:10" x14ac:dyDescent="0.2">
      <c r="A433" s="156" t="s">
        <v>295</v>
      </c>
      <c r="B433" s="156"/>
      <c r="C433" s="156"/>
      <c r="D433" s="156"/>
      <c r="E433" s="157">
        <f t="shared" ref="E433:J433" si="70">SUM(E429:E432)</f>
        <v>1915119.56</v>
      </c>
      <c r="F433" s="157">
        <f t="shared" si="70"/>
        <v>2098400</v>
      </c>
      <c r="G433" s="157">
        <f t="shared" si="70"/>
        <v>2098000</v>
      </c>
      <c r="H433" s="157">
        <f t="shared" si="70"/>
        <v>2177300</v>
      </c>
      <c r="I433" s="157">
        <f t="shared" si="70"/>
        <v>2291800</v>
      </c>
      <c r="J433" s="157">
        <f t="shared" si="70"/>
        <v>2320300</v>
      </c>
    </row>
    <row r="434" spans="1:10" ht="12.75" customHeight="1" x14ac:dyDescent="0.2">
      <c r="A434" s="156" t="s">
        <v>296</v>
      </c>
      <c r="B434" s="156"/>
      <c r="C434" s="156"/>
      <c r="D434" s="156"/>
      <c r="E434" s="156"/>
      <c r="F434" s="156"/>
      <c r="G434" s="156"/>
      <c r="H434" s="156"/>
      <c r="I434" s="156"/>
      <c r="J434" s="190"/>
    </row>
    <row r="435" spans="1:10" x14ac:dyDescent="0.2">
      <c r="A435" s="207">
        <v>226</v>
      </c>
      <c r="B435" s="129" t="s">
        <v>207</v>
      </c>
      <c r="C435" s="101"/>
      <c r="D435" s="101"/>
      <c r="E435" s="211">
        <v>22500</v>
      </c>
      <c r="F435" s="211">
        <v>22500</v>
      </c>
      <c r="G435" s="211">
        <v>22500</v>
      </c>
      <c r="H435" s="210">
        <v>22500</v>
      </c>
      <c r="I435" s="211">
        <v>22500</v>
      </c>
      <c r="J435" s="211">
        <v>22500</v>
      </c>
    </row>
    <row r="436" spans="1:10" x14ac:dyDescent="0.2">
      <c r="A436" s="207">
        <v>228</v>
      </c>
      <c r="B436" s="129" t="s">
        <v>208</v>
      </c>
      <c r="C436" s="101"/>
      <c r="D436" s="101"/>
      <c r="E436" s="211">
        <v>36671.160000000003</v>
      </c>
      <c r="F436" s="211">
        <v>30000</v>
      </c>
      <c r="G436" s="211">
        <v>30700</v>
      </c>
      <c r="H436" s="210">
        <v>30000</v>
      </c>
      <c r="I436" s="211">
        <v>30000</v>
      </c>
      <c r="J436" s="211">
        <v>30000</v>
      </c>
    </row>
    <row r="437" spans="1:10" x14ac:dyDescent="0.2">
      <c r="A437" s="207">
        <v>230</v>
      </c>
      <c r="B437" s="129" t="s">
        <v>210</v>
      </c>
      <c r="C437" s="101"/>
      <c r="D437" s="101"/>
      <c r="E437" s="211">
        <v>14451.83</v>
      </c>
      <c r="F437" s="211">
        <v>15000</v>
      </c>
      <c r="G437" s="211">
        <v>15100</v>
      </c>
      <c r="H437" s="210">
        <v>15000</v>
      </c>
      <c r="I437" s="211">
        <v>15000</v>
      </c>
      <c r="J437" s="211">
        <v>15000</v>
      </c>
    </row>
    <row r="438" spans="1:10" x14ac:dyDescent="0.2">
      <c r="A438" s="207">
        <v>232</v>
      </c>
      <c r="B438" s="129" t="s">
        <v>211</v>
      </c>
      <c r="C438" s="101"/>
      <c r="D438" s="101"/>
      <c r="E438" s="211">
        <v>16382.76</v>
      </c>
      <c r="F438" s="211">
        <v>15000</v>
      </c>
      <c r="G438" s="211">
        <v>16800</v>
      </c>
      <c r="H438" s="210">
        <v>15000</v>
      </c>
      <c r="I438" s="211">
        <v>15000</v>
      </c>
      <c r="J438" s="211">
        <v>15000</v>
      </c>
    </row>
    <row r="439" spans="1:10" x14ac:dyDescent="0.2">
      <c r="A439" s="207">
        <v>236</v>
      </c>
      <c r="B439" s="129" t="s">
        <v>467</v>
      </c>
      <c r="C439" s="101"/>
      <c r="D439" s="101"/>
      <c r="E439" s="211">
        <v>28385.8</v>
      </c>
      <c r="F439" s="211">
        <v>50000</v>
      </c>
      <c r="G439" s="211">
        <v>50000</v>
      </c>
      <c r="H439" s="210">
        <v>50000</v>
      </c>
      <c r="I439" s="211">
        <v>50000</v>
      </c>
      <c r="J439" s="211">
        <v>50000</v>
      </c>
    </row>
    <row r="440" spans="1:10" x14ac:dyDescent="0.2">
      <c r="A440" s="207">
        <v>244</v>
      </c>
      <c r="B440" s="129" t="s">
        <v>217</v>
      </c>
      <c r="C440" s="101"/>
      <c r="D440" s="101"/>
      <c r="E440" s="211">
        <v>0</v>
      </c>
      <c r="F440" s="211">
        <v>3500</v>
      </c>
      <c r="G440" s="211">
        <v>3500</v>
      </c>
      <c r="H440" s="210">
        <v>3500</v>
      </c>
      <c r="I440" s="211">
        <v>3500</v>
      </c>
      <c r="J440" s="211">
        <v>3500</v>
      </c>
    </row>
    <row r="441" spans="1:10" x14ac:dyDescent="0.2">
      <c r="A441" s="207">
        <v>246</v>
      </c>
      <c r="B441" s="129" t="s">
        <v>218</v>
      </c>
      <c r="C441" s="101"/>
      <c r="D441" s="101"/>
      <c r="E441" s="211">
        <v>10907.69</v>
      </c>
      <c r="F441" s="211">
        <v>70000</v>
      </c>
      <c r="G441" s="211">
        <v>70000</v>
      </c>
      <c r="H441" s="210">
        <v>70000</v>
      </c>
      <c r="I441" s="211">
        <v>70000</v>
      </c>
      <c r="J441" s="211">
        <v>70000</v>
      </c>
    </row>
    <row r="442" spans="1:10" x14ac:dyDescent="0.2">
      <c r="A442" s="207">
        <v>270</v>
      </c>
      <c r="B442" s="129" t="s">
        <v>224</v>
      </c>
      <c r="C442" s="101"/>
      <c r="D442" s="101"/>
      <c r="E442" s="211">
        <v>1444342.88</v>
      </c>
      <c r="F442" s="211">
        <v>1500500</v>
      </c>
      <c r="G442" s="211">
        <v>1500600</v>
      </c>
      <c r="H442" s="210">
        <f>1500500-500000+500000</f>
        <v>1500500</v>
      </c>
      <c r="I442" s="211">
        <f t="shared" ref="I442:J442" si="71">1500500-500000+500000</f>
        <v>1500500</v>
      </c>
      <c r="J442" s="211">
        <f t="shared" si="71"/>
        <v>1500500</v>
      </c>
    </row>
    <row r="443" spans="1:10" x14ac:dyDescent="0.2">
      <c r="A443" s="207">
        <v>275</v>
      </c>
      <c r="B443" s="129" t="s">
        <v>228</v>
      </c>
      <c r="C443" s="101"/>
      <c r="D443" s="101"/>
      <c r="E443" s="211">
        <v>11971.54</v>
      </c>
      <c r="F443" s="211">
        <v>12000</v>
      </c>
      <c r="G443" s="211">
        <v>12000</v>
      </c>
      <c r="H443" s="210">
        <v>12000</v>
      </c>
      <c r="I443" s="211">
        <v>12000</v>
      </c>
      <c r="J443" s="211">
        <v>12000</v>
      </c>
    </row>
    <row r="444" spans="1:10" x14ac:dyDescent="0.2">
      <c r="A444" s="207">
        <v>284</v>
      </c>
      <c r="B444" s="129" t="s">
        <v>340</v>
      </c>
      <c r="C444" s="101"/>
      <c r="D444" s="101"/>
      <c r="E444" s="211">
        <v>0</v>
      </c>
      <c r="F444" s="211">
        <v>30000</v>
      </c>
      <c r="G444" s="211">
        <v>30000</v>
      </c>
      <c r="H444" s="210">
        <v>30000</v>
      </c>
      <c r="I444" s="211">
        <v>30000</v>
      </c>
      <c r="J444" s="211">
        <v>30000</v>
      </c>
    </row>
    <row r="445" spans="1:10" ht="12.75" customHeight="1" x14ac:dyDescent="0.2">
      <c r="A445" s="156" t="s">
        <v>298</v>
      </c>
      <c r="B445" s="156"/>
      <c r="C445" s="156"/>
      <c r="D445" s="156"/>
      <c r="E445" s="157">
        <f t="shared" ref="E445:J445" si="72">SUM(E435:E444)</f>
        <v>1585613.66</v>
      </c>
      <c r="F445" s="157">
        <f t="shared" si="72"/>
        <v>1748500</v>
      </c>
      <c r="G445" s="157">
        <f t="shared" si="72"/>
        <v>1751200</v>
      </c>
      <c r="H445" s="157">
        <f t="shared" si="72"/>
        <v>1748500</v>
      </c>
      <c r="I445" s="157">
        <f t="shared" si="72"/>
        <v>1748500</v>
      </c>
      <c r="J445" s="157">
        <f t="shared" si="72"/>
        <v>1748500</v>
      </c>
    </row>
    <row r="446" spans="1:10" x14ac:dyDescent="0.2">
      <c r="A446" s="159" t="s">
        <v>299</v>
      </c>
      <c r="B446" s="159"/>
      <c r="C446" s="159"/>
      <c r="D446" s="159"/>
      <c r="E446" s="160">
        <f t="shared" ref="E446:J446" si="73">SUM(E433,E445)</f>
        <v>3500733.2199999997</v>
      </c>
      <c r="F446" s="160">
        <f t="shared" si="73"/>
        <v>3846900</v>
      </c>
      <c r="G446" s="160">
        <f t="shared" si="73"/>
        <v>3849200</v>
      </c>
      <c r="H446" s="160">
        <f t="shared" si="73"/>
        <v>3925800</v>
      </c>
      <c r="I446" s="160">
        <f t="shared" si="73"/>
        <v>4040300</v>
      </c>
      <c r="J446" s="160">
        <f t="shared" si="73"/>
        <v>4068800</v>
      </c>
    </row>
    <row r="447" spans="1:10" x14ac:dyDescent="0.2">
      <c r="A447" s="129"/>
      <c r="B447" s="129"/>
      <c r="C447" s="129"/>
      <c r="D447" s="129"/>
      <c r="E447" s="129"/>
      <c r="F447" s="129"/>
      <c r="G447" s="129"/>
      <c r="H447" s="129"/>
      <c r="I447" s="129"/>
      <c r="J447" s="190"/>
    </row>
    <row r="448" spans="1:10" x14ac:dyDescent="0.2">
      <c r="A448" s="162" t="s">
        <v>15</v>
      </c>
      <c r="B448" s="162"/>
      <c r="C448" s="162"/>
      <c r="D448" s="162"/>
      <c r="E448" s="162"/>
      <c r="F448" s="162"/>
      <c r="G448" s="162"/>
      <c r="H448" s="162"/>
      <c r="I448" s="162"/>
      <c r="J448" s="162"/>
    </row>
    <row r="449" spans="1:10" ht="18" customHeight="1" x14ac:dyDescent="0.2">
      <c r="A449" s="131" t="s">
        <v>242</v>
      </c>
      <c r="B449" s="131"/>
      <c r="C449" s="131"/>
      <c r="D449" s="131"/>
      <c r="E449" s="128" t="str">
        <f t="shared" ref="E449:J449" si="74">E24</f>
        <v>Actuals           2014-2015</v>
      </c>
      <c r="F449" s="128" t="str">
        <f t="shared" si="74"/>
        <v>Approved Estimates          2015-2016</v>
      </c>
      <c r="G449" s="128" t="str">
        <f t="shared" si="74"/>
        <v>Revised Estimates                 2015-2016</v>
      </c>
      <c r="H449" s="128" t="str">
        <f t="shared" si="74"/>
        <v>Budget Estimates      2016-2017</v>
      </c>
      <c r="I449" s="128" t="str">
        <f t="shared" si="74"/>
        <v>Forward Estimates     2017-2018</v>
      </c>
      <c r="J449" s="128" t="str">
        <f t="shared" si="74"/>
        <v>Forward Estimates     2018-2019</v>
      </c>
    </row>
    <row r="450" spans="1:10" ht="15" customHeight="1" x14ac:dyDescent="0.2">
      <c r="A450" s="130" t="s">
        <v>243</v>
      </c>
      <c r="B450" s="130" t="s">
        <v>244</v>
      </c>
      <c r="C450" s="131" t="s">
        <v>245</v>
      </c>
      <c r="D450" s="131"/>
      <c r="E450" s="101"/>
      <c r="F450" s="101"/>
      <c r="G450" s="101"/>
      <c r="H450" s="101"/>
      <c r="I450" s="101"/>
      <c r="J450" s="101"/>
    </row>
    <row r="451" spans="1:10" ht="15" customHeight="1" x14ac:dyDescent="0.2">
      <c r="A451" s="163"/>
      <c r="B451" s="163"/>
      <c r="C451" s="156"/>
      <c r="D451" s="156"/>
      <c r="E451" s="158"/>
      <c r="F451" s="209"/>
      <c r="G451" s="158"/>
      <c r="H451" s="136"/>
      <c r="I451" s="158"/>
      <c r="J451" s="135"/>
    </row>
    <row r="452" spans="1:10" x14ac:dyDescent="0.2">
      <c r="A452" s="137" t="s">
        <v>15</v>
      </c>
      <c r="B452" s="137"/>
      <c r="C452" s="137"/>
      <c r="D452" s="137"/>
      <c r="E452" s="138">
        <v>0</v>
      </c>
      <c r="F452" s="138">
        <v>0</v>
      </c>
      <c r="G452" s="138">
        <v>0</v>
      </c>
      <c r="H452" s="138">
        <v>0</v>
      </c>
      <c r="I452" s="138">
        <v>0</v>
      </c>
      <c r="J452" s="138">
        <v>0</v>
      </c>
    </row>
    <row r="453" spans="1:10" x14ac:dyDescent="0.2">
      <c r="A453" s="290"/>
      <c r="B453" s="290"/>
      <c r="C453" s="290"/>
      <c r="D453" s="290"/>
      <c r="E453" s="290"/>
      <c r="F453" s="290"/>
      <c r="G453" s="290"/>
      <c r="H453" s="290"/>
      <c r="I453" s="290"/>
      <c r="J453" s="290"/>
    </row>
    <row r="454" spans="1:10" x14ac:dyDescent="0.2">
      <c r="A454" s="161" t="s">
        <v>288</v>
      </c>
      <c r="B454" s="161"/>
      <c r="C454" s="161"/>
      <c r="D454" s="161"/>
      <c r="E454" s="161"/>
      <c r="F454" s="161"/>
      <c r="G454" s="161"/>
      <c r="H454" s="161"/>
      <c r="I454" s="161"/>
      <c r="J454" s="161"/>
    </row>
    <row r="455" spans="1:10" x14ac:dyDescent="0.2">
      <c r="A455" s="131" t="s">
        <v>300</v>
      </c>
      <c r="B455" s="131"/>
      <c r="C455" s="131"/>
      <c r="D455" s="132" t="s">
        <v>301</v>
      </c>
      <c r="E455" s="132" t="s">
        <v>302</v>
      </c>
      <c r="F455" s="131" t="s">
        <v>300</v>
      </c>
      <c r="G455" s="131"/>
      <c r="H455" s="131"/>
      <c r="I455" s="132" t="s">
        <v>301</v>
      </c>
      <c r="J455" s="132" t="s">
        <v>302</v>
      </c>
    </row>
    <row r="456" spans="1:10" ht="14.25" customHeight="1" x14ac:dyDescent="0.2">
      <c r="A456" s="134" t="str">
        <f>Establishment!D266</f>
        <v>Director General</v>
      </c>
      <c r="B456" s="134"/>
      <c r="C456" s="134"/>
      <c r="D456" s="133" t="str">
        <f>Establishment!E266</f>
        <v>R5</v>
      </c>
      <c r="E456" s="133">
        <f>Establishment!C266</f>
        <v>1</v>
      </c>
      <c r="F456" s="134" t="str">
        <f>Establishment!D278</f>
        <v>Customs Officer I</v>
      </c>
      <c r="G456" s="134"/>
      <c r="H456" s="134"/>
      <c r="I456" s="133" t="str">
        <f>Establishment!E278</f>
        <v>R48-34</v>
      </c>
      <c r="J456" s="133">
        <f>Establishment!C278</f>
        <v>3</v>
      </c>
    </row>
    <row r="457" spans="1:10" ht="14.25" customHeight="1" x14ac:dyDescent="0.2">
      <c r="A457" s="134" t="str">
        <f>Establishment!D267</f>
        <v>Comptrollers</v>
      </c>
      <c r="B457" s="134"/>
      <c r="C457" s="134"/>
      <c r="D457" s="133" t="str">
        <f>Establishment!E267</f>
        <v>R6</v>
      </c>
      <c r="E457" s="133">
        <f>Establishment!C267</f>
        <v>2</v>
      </c>
      <c r="F457" s="134" t="str">
        <f>Establishment!D279</f>
        <v>Customs Clerk</v>
      </c>
      <c r="G457" s="134"/>
      <c r="H457" s="134"/>
      <c r="I457" s="133" t="str">
        <f>Establishment!E279</f>
        <v>R48-34</v>
      </c>
      <c r="J457" s="133">
        <f>Establishment!C279</f>
        <v>1</v>
      </c>
    </row>
    <row r="458" spans="1:10" ht="14.25" customHeight="1" x14ac:dyDescent="0.2">
      <c r="A458" s="134" t="str">
        <f>Establishment!D268</f>
        <v>Deputy Comptroller</v>
      </c>
      <c r="B458" s="134"/>
      <c r="C458" s="134"/>
      <c r="D458" s="133" t="str">
        <f>Establishment!E268</f>
        <v>R17-13</v>
      </c>
      <c r="E458" s="133">
        <f>Establishment!C268</f>
        <v>2</v>
      </c>
      <c r="F458" s="134" t="str">
        <f>Establishment!D280</f>
        <v>Office &amp; Tax Payer Services Officer</v>
      </c>
      <c r="G458" s="134"/>
      <c r="H458" s="134"/>
      <c r="I458" s="133" t="str">
        <f>Establishment!E280</f>
        <v>R28-22</v>
      </c>
      <c r="J458" s="133">
        <f>Establishment!C280</f>
        <v>1</v>
      </c>
    </row>
    <row r="459" spans="1:10" ht="14.25" customHeight="1" x14ac:dyDescent="0.2">
      <c r="A459" s="134" t="str">
        <f>Establishment!D269</f>
        <v>Valuation Officer/Appraiser</v>
      </c>
      <c r="B459" s="134"/>
      <c r="C459" s="134"/>
      <c r="D459" s="133" t="str">
        <f>Establishment!E269</f>
        <v>R28-22/22-16</v>
      </c>
      <c r="E459" s="133">
        <f>Establishment!C269</f>
        <v>1</v>
      </c>
      <c r="F459" s="134" t="str">
        <f>Establishment!D281</f>
        <v>Clerical Officer (Snr)</v>
      </c>
      <c r="G459" s="134"/>
      <c r="H459" s="134"/>
      <c r="I459" s="133" t="str">
        <f>Establishment!E281</f>
        <v>R33-29</v>
      </c>
      <c r="J459" s="133">
        <f>Establishment!C281</f>
        <v>1</v>
      </c>
    </row>
    <row r="460" spans="1:10" ht="14.25" customHeight="1" x14ac:dyDescent="0.2">
      <c r="A460" s="134" t="str">
        <f>Establishment!D270</f>
        <v>Valuation Officer</v>
      </c>
      <c r="B460" s="134"/>
      <c r="C460" s="134"/>
      <c r="D460" s="133" t="str">
        <f>Establishment!E270</f>
        <v>R22-16</v>
      </c>
      <c r="E460" s="133">
        <f>Establishment!C270</f>
        <v>1</v>
      </c>
      <c r="F460" s="134" t="str">
        <f>Establishment!D282</f>
        <v>Cashier</v>
      </c>
      <c r="G460" s="134"/>
      <c r="H460" s="134"/>
      <c r="I460" s="133" t="str">
        <f>Establishment!E282</f>
        <v>R33-29</v>
      </c>
      <c r="J460" s="133">
        <f>Establishment!C282</f>
        <v>1</v>
      </c>
    </row>
    <row r="461" spans="1:10" ht="14.25" customHeight="1" x14ac:dyDescent="0.2">
      <c r="A461" s="134" t="str">
        <f>Establishment!D271</f>
        <v>Audit Manager</v>
      </c>
      <c r="B461" s="134"/>
      <c r="C461" s="134"/>
      <c r="D461" s="133" t="str">
        <f>Establishment!E271</f>
        <v>R22-16/14-10</v>
      </c>
      <c r="E461" s="133">
        <f>Establishment!C271</f>
        <v>1</v>
      </c>
      <c r="F461" s="134" t="str">
        <f>Establishment!D283</f>
        <v>Clerical Officers</v>
      </c>
      <c r="G461" s="134"/>
      <c r="H461" s="134"/>
      <c r="I461" s="133" t="str">
        <f>Establishment!E283</f>
        <v>R46-34</v>
      </c>
      <c r="J461" s="133">
        <f>Establishment!C283</f>
        <v>2</v>
      </c>
    </row>
    <row r="462" spans="1:10" ht="15" customHeight="1" x14ac:dyDescent="0.2">
      <c r="A462" s="134" t="str">
        <f>Establishment!D272</f>
        <v>Tax Information Exchange Officer</v>
      </c>
      <c r="B462" s="134"/>
      <c r="C462" s="134"/>
      <c r="D462" s="133" t="str">
        <f>Establishment!E272</f>
        <v>R28-22</v>
      </c>
      <c r="E462" s="133">
        <f>Establishment!C272</f>
        <v>1</v>
      </c>
      <c r="F462" s="134" t="str">
        <f>Establishment!D284</f>
        <v>Filing /Data Entry Clerk</v>
      </c>
      <c r="G462" s="134"/>
      <c r="H462" s="134"/>
      <c r="I462" s="133" t="str">
        <f>Establishment!E284</f>
        <v>R51-45</v>
      </c>
      <c r="J462" s="133">
        <f>Establishment!C284</f>
        <v>1</v>
      </c>
    </row>
    <row r="463" spans="1:10" ht="14.25" customHeight="1" x14ac:dyDescent="0.2">
      <c r="A463" s="134" t="str">
        <f>Establishment!D273</f>
        <v>Inspector of Taxes II</v>
      </c>
      <c r="B463" s="134"/>
      <c r="C463" s="134"/>
      <c r="D463" s="133" t="str">
        <f>Establishment!E273</f>
        <v>R28-22</v>
      </c>
      <c r="E463" s="133">
        <f>Establishment!C273</f>
        <v>2</v>
      </c>
      <c r="F463" s="134" t="str">
        <f>Establishment!D285</f>
        <v>Office Attendants</v>
      </c>
      <c r="G463" s="134"/>
      <c r="H463" s="134"/>
      <c r="I463" s="133" t="str">
        <f>Establishment!E285</f>
        <v>R51-45</v>
      </c>
      <c r="J463" s="133">
        <f>Establishment!C285</f>
        <v>2</v>
      </c>
    </row>
    <row r="464" spans="1:10" ht="14.25" customHeight="1" x14ac:dyDescent="0.2">
      <c r="A464" s="134" t="str">
        <f>Establishment!D274</f>
        <v>Inspector of Taxes I</v>
      </c>
      <c r="B464" s="134"/>
      <c r="C464" s="134"/>
      <c r="D464" s="133" t="str">
        <f>Establishment!E274</f>
        <v>R33-29</v>
      </c>
      <c r="E464" s="133">
        <f>Establishment!C274</f>
        <v>2</v>
      </c>
      <c r="F464" s="134" t="str">
        <f>Establishment!D286</f>
        <v>Revenue Officer</v>
      </c>
      <c r="G464" s="134"/>
      <c r="H464" s="134"/>
      <c r="I464" s="133" t="str">
        <f>Establishment!E286</f>
        <v>R46-34</v>
      </c>
      <c r="J464" s="133">
        <f>Establishment!C286</f>
        <v>3</v>
      </c>
    </row>
    <row r="465" spans="1:10" ht="14.25" customHeight="1" x14ac:dyDescent="0.2">
      <c r="A465" s="134" t="str">
        <f>Establishment!D275</f>
        <v>Customs Officer Snr</v>
      </c>
      <c r="B465" s="134"/>
      <c r="C465" s="134"/>
      <c r="D465" s="133" t="str">
        <f>Establishment!E275</f>
        <v>R22-18</v>
      </c>
      <c r="E465" s="133">
        <f>Establishment!C275</f>
        <v>4</v>
      </c>
      <c r="F465" s="134" t="str">
        <f>Establishment!D287</f>
        <v>Revenue Assistant</v>
      </c>
      <c r="G465" s="134"/>
      <c r="H465" s="134"/>
      <c r="I465" s="133" t="str">
        <f>Establishment!E287</f>
        <v>R46-34</v>
      </c>
      <c r="J465" s="133">
        <f>Establishment!C287</f>
        <v>2</v>
      </c>
    </row>
    <row r="466" spans="1:10" ht="14.25" customHeight="1" x14ac:dyDescent="0.2">
      <c r="A466" s="134" t="str">
        <f>Establishment!D276</f>
        <v>Customs Officer III</v>
      </c>
      <c r="B466" s="134"/>
      <c r="C466" s="134"/>
      <c r="D466" s="133" t="str">
        <f>Establishment!E276</f>
        <v>R28-22</v>
      </c>
      <c r="E466" s="133">
        <f>Establishment!C276</f>
        <v>4</v>
      </c>
      <c r="F466" s="134" t="str">
        <f>Establishment!D288</f>
        <v>Bailiff</v>
      </c>
      <c r="G466" s="134"/>
      <c r="H466" s="134"/>
      <c r="I466" s="133" t="str">
        <f>Establishment!E288</f>
        <v>R27</v>
      </c>
      <c r="J466" s="133">
        <f>Establishment!C288</f>
        <v>1</v>
      </c>
    </row>
    <row r="467" spans="1:10" ht="14.25" customHeight="1" x14ac:dyDescent="0.2">
      <c r="A467" s="134" t="str">
        <f>Establishment!D277</f>
        <v>Customs Officer II</v>
      </c>
      <c r="B467" s="134"/>
      <c r="C467" s="134"/>
      <c r="D467" s="133" t="str">
        <f>Establishment!E277</f>
        <v>R33-29</v>
      </c>
      <c r="E467" s="133">
        <f>Establishment!C277</f>
        <v>6</v>
      </c>
      <c r="F467" s="134"/>
      <c r="G467" s="134"/>
      <c r="H467" s="134"/>
      <c r="I467" s="133"/>
      <c r="J467" s="133"/>
    </row>
    <row r="468" spans="1:10" x14ac:dyDescent="0.2">
      <c r="A468" s="203" t="s">
        <v>303</v>
      </c>
      <c r="B468" s="203"/>
      <c r="C468" s="203"/>
      <c r="D468" s="203"/>
      <c r="E468" s="203"/>
      <c r="F468" s="203"/>
      <c r="G468" s="203"/>
      <c r="H468" s="203"/>
      <c r="I468" s="203"/>
      <c r="J468" s="204">
        <f>SUM(E456:E467,J456:J467)</f>
        <v>45</v>
      </c>
    </row>
    <row r="469" spans="1:10" x14ac:dyDescent="0.2">
      <c r="A469" s="129"/>
      <c r="B469" s="129"/>
      <c r="C469" s="129"/>
      <c r="D469" s="129"/>
      <c r="E469" s="129"/>
      <c r="F469" s="129"/>
      <c r="G469" s="129"/>
      <c r="H469" s="129"/>
      <c r="I469" s="129"/>
      <c r="J469" s="129"/>
    </row>
    <row r="470" spans="1:10" x14ac:dyDescent="0.2">
      <c r="A470" s="180" t="s">
        <v>304</v>
      </c>
      <c r="B470" s="180"/>
      <c r="C470" s="180"/>
      <c r="D470" s="180"/>
      <c r="E470" s="180"/>
      <c r="F470" s="180"/>
      <c r="G470" s="180"/>
      <c r="H470" s="180"/>
      <c r="I470" s="180"/>
      <c r="J470" s="180"/>
    </row>
    <row r="471" spans="1:10" x14ac:dyDescent="0.2">
      <c r="A471" s="181" t="s">
        <v>305</v>
      </c>
      <c r="B471" s="181"/>
      <c r="C471" s="181"/>
      <c r="D471" s="181"/>
      <c r="E471" s="181"/>
      <c r="F471" s="181"/>
      <c r="G471" s="181"/>
      <c r="H471" s="181"/>
      <c r="I471" s="181"/>
      <c r="J471" s="181"/>
    </row>
    <row r="472" spans="1:10" x14ac:dyDescent="0.2">
      <c r="A472" s="296" t="s">
        <v>1187</v>
      </c>
      <c r="B472" s="296"/>
      <c r="C472" s="296"/>
      <c r="D472" s="296"/>
      <c r="E472" s="296"/>
      <c r="F472" s="296"/>
      <c r="G472" s="296"/>
      <c r="H472" s="296"/>
      <c r="I472" s="296"/>
      <c r="J472" s="296"/>
    </row>
    <row r="473" spans="1:10" x14ac:dyDescent="0.2">
      <c r="A473" s="296" t="s">
        <v>1188</v>
      </c>
      <c r="B473" s="296"/>
      <c r="C473" s="296"/>
      <c r="D473" s="296"/>
      <c r="E473" s="296"/>
      <c r="F473" s="296"/>
      <c r="G473" s="296"/>
      <c r="H473" s="296"/>
      <c r="I473" s="296"/>
      <c r="J473" s="296"/>
    </row>
    <row r="474" spans="1:10" x14ac:dyDescent="0.2">
      <c r="A474" s="296" t="s">
        <v>1189</v>
      </c>
      <c r="B474" s="296"/>
      <c r="C474" s="296"/>
      <c r="D474" s="296"/>
      <c r="E474" s="296"/>
      <c r="F474" s="296"/>
      <c r="G474" s="296"/>
      <c r="H474" s="296"/>
      <c r="I474" s="296"/>
      <c r="J474" s="296"/>
    </row>
    <row r="475" spans="1:10" x14ac:dyDescent="0.2">
      <c r="A475" s="296" t="s">
        <v>1190</v>
      </c>
      <c r="B475" s="296"/>
      <c r="C475" s="296"/>
      <c r="D475" s="296"/>
      <c r="E475" s="296"/>
      <c r="F475" s="296"/>
      <c r="G475" s="296"/>
      <c r="H475" s="296"/>
      <c r="I475" s="296"/>
      <c r="J475" s="296"/>
    </row>
    <row r="476" spans="1:10" ht="22.5" customHeight="1" x14ac:dyDescent="0.2">
      <c r="A476" s="269" t="s">
        <v>1191</v>
      </c>
      <c r="B476" s="269"/>
      <c r="C476" s="269"/>
      <c r="D476" s="269"/>
      <c r="E476" s="269"/>
      <c r="F476" s="269"/>
      <c r="G476" s="269"/>
      <c r="H476" s="269"/>
      <c r="I476" s="269"/>
      <c r="J476" s="269"/>
    </row>
    <row r="477" spans="1:10" x14ac:dyDescent="0.2">
      <c r="A477" s="129"/>
      <c r="B477" s="129"/>
      <c r="C477" s="129"/>
      <c r="D477" s="129"/>
      <c r="E477" s="129"/>
      <c r="F477" s="129"/>
      <c r="G477" s="129"/>
      <c r="H477" s="129"/>
      <c r="I477" s="129"/>
      <c r="J477" s="129"/>
    </row>
    <row r="478" spans="1:10" x14ac:dyDescent="0.2">
      <c r="A478" s="183" t="s">
        <v>415</v>
      </c>
      <c r="B478" s="183"/>
      <c r="C478" s="183"/>
      <c r="D478" s="183"/>
      <c r="E478" s="183"/>
      <c r="F478" s="183"/>
      <c r="G478" s="183"/>
      <c r="H478" s="183"/>
      <c r="I478" s="183"/>
      <c r="J478" s="183"/>
    </row>
    <row r="479" spans="1:10" x14ac:dyDescent="0.2">
      <c r="A479" s="129"/>
      <c r="B479" s="129"/>
      <c r="C479" s="129"/>
      <c r="D479" s="129"/>
      <c r="E479" s="129"/>
      <c r="F479" s="129"/>
      <c r="G479" s="129"/>
      <c r="H479" s="129"/>
      <c r="I479" s="129"/>
      <c r="J479" s="129"/>
    </row>
    <row r="480" spans="1:10" x14ac:dyDescent="0.2">
      <c r="A480" s="129"/>
      <c r="B480" s="129"/>
      <c r="C480" s="129"/>
      <c r="D480" s="129"/>
      <c r="E480" s="129"/>
      <c r="F480" s="129"/>
      <c r="G480" s="129"/>
      <c r="H480" s="129"/>
      <c r="I480" s="129"/>
      <c r="J480" s="129"/>
    </row>
    <row r="481" spans="1:10" x14ac:dyDescent="0.2">
      <c r="A481" s="129"/>
      <c r="B481" s="129"/>
      <c r="C481" s="129"/>
      <c r="D481" s="129"/>
      <c r="E481" s="129"/>
      <c r="F481" s="129"/>
      <c r="G481" s="129"/>
      <c r="H481" s="129"/>
      <c r="I481" s="129"/>
      <c r="J481" s="129"/>
    </row>
    <row r="482" spans="1:10" x14ac:dyDescent="0.2">
      <c r="A482" s="129"/>
      <c r="B482" s="129"/>
      <c r="C482" s="129"/>
      <c r="D482" s="129"/>
      <c r="E482" s="129"/>
      <c r="F482" s="129"/>
      <c r="G482" s="129"/>
      <c r="H482" s="129"/>
      <c r="I482" s="129"/>
      <c r="J482" s="129"/>
    </row>
    <row r="483" spans="1:10" ht="22.5" x14ac:dyDescent="0.2">
      <c r="A483" s="180" t="s">
        <v>315</v>
      </c>
      <c r="B483" s="180"/>
      <c r="C483" s="180"/>
      <c r="D483" s="180"/>
      <c r="E483" s="180"/>
      <c r="F483" s="184" t="str">
        <f>F146</f>
        <v xml:space="preserve"> Actual 2014-2015</v>
      </c>
      <c r="G483" s="184" t="str">
        <f>G146</f>
        <v xml:space="preserve"> Estimate 2015-2016</v>
      </c>
      <c r="H483" s="184" t="str">
        <f>H146</f>
        <v xml:space="preserve"> Target 2016-2017</v>
      </c>
      <c r="I483" s="184" t="str">
        <f>I146</f>
        <v xml:space="preserve"> Target 2017-2018</v>
      </c>
      <c r="J483" s="184" t="str">
        <f>J146</f>
        <v xml:space="preserve"> Target 2018-2019</v>
      </c>
    </row>
    <row r="484" spans="1:10" x14ac:dyDescent="0.2">
      <c r="A484" s="180" t="s">
        <v>316</v>
      </c>
      <c r="B484" s="180"/>
      <c r="C484" s="180"/>
      <c r="D484" s="180"/>
      <c r="E484" s="180"/>
      <c r="F484" s="180"/>
      <c r="G484" s="180"/>
      <c r="H484" s="180"/>
      <c r="I484" s="180"/>
      <c r="J484" s="180"/>
    </row>
    <row r="485" spans="1:10" s="418" customFormat="1" ht="11.25" x14ac:dyDescent="0.2">
      <c r="A485" s="188" t="s">
        <v>1192</v>
      </c>
      <c r="B485" s="188"/>
      <c r="C485" s="188"/>
      <c r="D485" s="188"/>
      <c r="E485" s="188"/>
      <c r="F485" s="432"/>
      <c r="G485" s="433" t="s">
        <v>1193</v>
      </c>
      <c r="H485" s="433" t="s">
        <v>1193</v>
      </c>
      <c r="I485" s="433" t="s">
        <v>1193</v>
      </c>
      <c r="J485" s="433" t="s">
        <v>1193</v>
      </c>
    </row>
    <row r="486" spans="1:10" s="418" customFormat="1" ht="45" customHeight="1" x14ac:dyDescent="0.2">
      <c r="A486" s="434" t="s">
        <v>1194</v>
      </c>
      <c r="B486" s="435"/>
      <c r="C486" s="435"/>
      <c r="D486" s="435"/>
      <c r="E486" s="436"/>
      <c r="F486" s="432" t="s">
        <v>1195</v>
      </c>
      <c r="G486" s="433" t="s">
        <v>1195</v>
      </c>
      <c r="H486" s="433" t="s">
        <v>1196</v>
      </c>
      <c r="I486" s="433" t="s">
        <v>1196</v>
      </c>
      <c r="J486" s="433" t="s">
        <v>1196</v>
      </c>
    </row>
    <row r="487" spans="1:10" s="418" customFormat="1" ht="79.5" customHeight="1" x14ac:dyDescent="0.2">
      <c r="A487" s="437"/>
      <c r="B487" s="438"/>
      <c r="C487" s="438"/>
      <c r="D487" s="438"/>
      <c r="E487" s="439"/>
      <c r="F487" s="433" t="s">
        <v>1197</v>
      </c>
      <c r="G487" s="433" t="s">
        <v>1198</v>
      </c>
      <c r="H487" s="433"/>
      <c r="I487" s="433"/>
      <c r="J487" s="433"/>
    </row>
    <row r="488" spans="1:10" s="418" customFormat="1" ht="67.5" x14ac:dyDescent="0.2">
      <c r="A488" s="188" t="s">
        <v>1199</v>
      </c>
      <c r="B488" s="188"/>
      <c r="C488" s="188"/>
      <c r="D488" s="188"/>
      <c r="E488" s="188"/>
      <c r="F488" s="433">
        <v>2</v>
      </c>
      <c r="G488" s="433" t="s">
        <v>1200</v>
      </c>
      <c r="H488" s="433" t="s">
        <v>1201</v>
      </c>
      <c r="I488" s="433" t="s">
        <v>1202</v>
      </c>
      <c r="J488" s="433" t="s">
        <v>1203</v>
      </c>
    </row>
    <row r="489" spans="1:10" ht="22.5" x14ac:dyDescent="0.2">
      <c r="A489" s="434" t="s">
        <v>1204</v>
      </c>
      <c r="B489" s="435"/>
      <c r="C489" s="435"/>
      <c r="D489" s="435"/>
      <c r="E489" s="436"/>
      <c r="F489" s="433"/>
      <c r="G489" s="433" t="s">
        <v>1205</v>
      </c>
      <c r="H489" s="433" t="s">
        <v>1205</v>
      </c>
      <c r="I489" s="433" t="s">
        <v>1205</v>
      </c>
      <c r="J489" s="433" t="s">
        <v>1205</v>
      </c>
    </row>
    <row r="490" spans="1:10" ht="22.5" x14ac:dyDescent="0.2">
      <c r="A490" s="437"/>
      <c r="B490" s="438"/>
      <c r="C490" s="438"/>
      <c r="D490" s="438"/>
      <c r="E490" s="439"/>
      <c r="F490" s="433"/>
      <c r="G490" s="433" t="s">
        <v>1206</v>
      </c>
      <c r="H490" s="433" t="s">
        <v>1206</v>
      </c>
      <c r="I490" s="433" t="s">
        <v>1206</v>
      </c>
      <c r="J490" s="433" t="s">
        <v>1206</v>
      </c>
    </row>
    <row r="491" spans="1:10" ht="157.5" x14ac:dyDescent="0.2">
      <c r="A491" s="188" t="s">
        <v>1207</v>
      </c>
      <c r="B491" s="188"/>
      <c r="C491" s="188"/>
      <c r="D491" s="188"/>
      <c r="E491" s="188"/>
      <c r="F491" s="433">
        <v>0</v>
      </c>
      <c r="G491" s="433" t="s">
        <v>1208</v>
      </c>
      <c r="H491" s="433" t="s">
        <v>1209</v>
      </c>
      <c r="I491" s="433" t="s">
        <v>1210</v>
      </c>
      <c r="J491" s="433" t="s">
        <v>1211</v>
      </c>
    </row>
    <row r="492" spans="1:10" x14ac:dyDescent="0.2">
      <c r="A492" s="188" t="s">
        <v>660</v>
      </c>
      <c r="B492" s="188"/>
      <c r="C492" s="188"/>
      <c r="D492" s="188"/>
      <c r="E492" s="188"/>
      <c r="F492" s="432"/>
      <c r="G492" s="433"/>
      <c r="H492" s="433"/>
      <c r="I492" s="433"/>
      <c r="J492" s="433"/>
    </row>
    <row r="493" spans="1:10" ht="24.75" customHeight="1" x14ac:dyDescent="0.2">
      <c r="A493" s="180" t="s">
        <v>324</v>
      </c>
      <c r="B493" s="180"/>
      <c r="C493" s="180"/>
      <c r="D493" s="180"/>
      <c r="E493" s="180"/>
      <c r="F493" s="180"/>
      <c r="G493" s="180"/>
      <c r="H493" s="180"/>
      <c r="I493" s="180"/>
      <c r="J493" s="180"/>
    </row>
    <row r="494" spans="1:10" ht="33.75" x14ac:dyDescent="0.2">
      <c r="A494" s="188" t="s">
        <v>1212</v>
      </c>
      <c r="B494" s="188"/>
      <c r="C494" s="188"/>
      <c r="D494" s="188"/>
      <c r="E494" s="188"/>
      <c r="F494" s="433" t="s">
        <v>1213</v>
      </c>
      <c r="G494" s="433" t="s">
        <v>1213</v>
      </c>
      <c r="H494" s="433" t="s">
        <v>1213</v>
      </c>
      <c r="I494" s="433" t="s">
        <v>1213</v>
      </c>
      <c r="J494" s="433" t="s">
        <v>1213</v>
      </c>
    </row>
    <row r="495" spans="1:10" x14ac:dyDescent="0.2">
      <c r="A495" s="188" t="s">
        <v>1214</v>
      </c>
      <c r="B495" s="188"/>
      <c r="C495" s="188"/>
      <c r="D495" s="188"/>
      <c r="E495" s="188"/>
      <c r="F495" s="433">
        <v>0</v>
      </c>
      <c r="G495" s="433">
        <v>0</v>
      </c>
      <c r="H495" s="433">
        <v>0</v>
      </c>
      <c r="I495" s="433">
        <v>0.6</v>
      </c>
      <c r="J495" s="433">
        <v>1</v>
      </c>
    </row>
    <row r="496" spans="1:10" x14ac:dyDescent="0.2">
      <c r="A496" s="188" t="s">
        <v>1215</v>
      </c>
      <c r="B496" s="188"/>
      <c r="C496" s="188"/>
      <c r="D496" s="188"/>
      <c r="E496" s="188"/>
      <c r="F496" s="433"/>
      <c r="G496" s="433"/>
      <c r="H496" s="433" t="s">
        <v>1216</v>
      </c>
      <c r="I496" s="433" t="s">
        <v>1216</v>
      </c>
      <c r="J496" s="433" t="s">
        <v>1217</v>
      </c>
    </row>
    <row r="497" spans="1:10" ht="45" x14ac:dyDescent="0.2">
      <c r="A497" s="188" t="s">
        <v>1218</v>
      </c>
      <c r="B497" s="188"/>
      <c r="C497" s="188"/>
      <c r="D497" s="188"/>
      <c r="E497" s="188"/>
      <c r="F497" s="433"/>
      <c r="G497" s="433" t="s">
        <v>1219</v>
      </c>
      <c r="H497" s="433"/>
      <c r="I497" s="433"/>
      <c r="J497" s="433"/>
    </row>
    <row r="498" spans="1:10" x14ac:dyDescent="0.2">
      <c r="A498" s="188" t="s">
        <v>1220</v>
      </c>
      <c r="B498" s="188"/>
      <c r="C498" s="188"/>
      <c r="D498" s="188"/>
      <c r="E498" s="188"/>
      <c r="F498" s="440">
        <v>9015422.8300000001</v>
      </c>
      <c r="G498" s="440"/>
      <c r="H498" s="440"/>
      <c r="I498" s="440"/>
      <c r="J498" s="440"/>
    </row>
    <row r="499" spans="1:10" x14ac:dyDescent="0.2">
      <c r="A499" s="129"/>
      <c r="B499" s="129"/>
      <c r="C499" s="129"/>
      <c r="D499" s="129"/>
      <c r="E499" s="129"/>
      <c r="F499" s="129"/>
      <c r="G499" s="129"/>
      <c r="H499" s="129"/>
      <c r="I499" s="129"/>
      <c r="J499" s="129"/>
    </row>
    <row r="500" spans="1:10" ht="15" customHeight="1" x14ac:dyDescent="0.2">
      <c r="A500" s="150" t="s">
        <v>1221</v>
      </c>
      <c r="B500" s="150"/>
      <c r="C500" s="150"/>
      <c r="D500" s="150"/>
      <c r="E500" s="150"/>
      <c r="F500" s="150"/>
      <c r="G500" s="150"/>
      <c r="H500" s="150"/>
      <c r="I500" s="150"/>
      <c r="J500" s="150"/>
    </row>
    <row r="501" spans="1:10" ht="15" customHeight="1" x14ac:dyDescent="0.2">
      <c r="A501" s="151" t="s">
        <v>291</v>
      </c>
      <c r="B501" s="151"/>
      <c r="C501" s="151"/>
      <c r="D501" s="101"/>
      <c r="E501" s="101"/>
      <c r="F501" s="101"/>
      <c r="G501" s="101"/>
      <c r="H501" s="101"/>
      <c r="I501" s="101"/>
      <c r="J501" s="101"/>
    </row>
    <row r="502" spans="1:10" ht="15" customHeight="1" x14ac:dyDescent="0.2">
      <c r="A502" s="129" t="s">
        <v>1222</v>
      </c>
      <c r="B502" s="129"/>
      <c r="C502" s="129"/>
      <c r="D502" s="129"/>
      <c r="E502" s="129"/>
      <c r="F502" s="129"/>
      <c r="G502" s="129"/>
      <c r="H502" s="129"/>
      <c r="I502" s="129"/>
      <c r="J502" s="129"/>
    </row>
    <row r="503" spans="1:10" ht="15" customHeight="1" x14ac:dyDescent="0.2">
      <c r="A503" s="128" t="s">
        <v>293</v>
      </c>
      <c r="B503" s="128"/>
      <c r="C503" s="128"/>
      <c r="D503" s="128"/>
      <c r="E503" s="128"/>
      <c r="F503" s="128"/>
      <c r="G503" s="128"/>
      <c r="H503" s="128"/>
      <c r="I503" s="128"/>
      <c r="J503" s="128"/>
    </row>
    <row r="504" spans="1:10" ht="33.75" x14ac:dyDescent="0.2">
      <c r="A504" s="152" t="s">
        <v>243</v>
      </c>
      <c r="B504" s="151" t="s">
        <v>242</v>
      </c>
      <c r="C504" s="151"/>
      <c r="D504" s="151"/>
      <c r="E504" s="132" t="str">
        <f t="shared" ref="E504:J504" si="75">E24</f>
        <v>Actuals           2014-2015</v>
      </c>
      <c r="F504" s="132" t="str">
        <f t="shared" si="75"/>
        <v>Approved Estimates          2015-2016</v>
      </c>
      <c r="G504" s="132" t="str">
        <f t="shared" si="75"/>
        <v>Revised Estimates                 2015-2016</v>
      </c>
      <c r="H504" s="132" t="str">
        <f t="shared" si="75"/>
        <v>Budget Estimates      2016-2017</v>
      </c>
      <c r="I504" s="132" t="str">
        <f t="shared" si="75"/>
        <v>Forward Estimates     2017-2018</v>
      </c>
      <c r="J504" s="132" t="str">
        <f t="shared" si="75"/>
        <v>Forward Estimates     2018-2019</v>
      </c>
    </row>
    <row r="505" spans="1:10" x14ac:dyDescent="0.2">
      <c r="A505" s="207" t="s">
        <v>116</v>
      </c>
      <c r="B505" s="129" t="s">
        <v>1223</v>
      </c>
      <c r="C505" s="101" t="s">
        <v>1223</v>
      </c>
      <c r="D505" s="101" t="s">
        <v>1223</v>
      </c>
      <c r="E505" s="211">
        <v>677.42000000000007</v>
      </c>
      <c r="F505" s="211">
        <v>3500</v>
      </c>
      <c r="G505" s="211">
        <v>400</v>
      </c>
      <c r="H505" s="210">
        <v>3500</v>
      </c>
      <c r="I505" s="211">
        <v>3500</v>
      </c>
      <c r="J505" s="211">
        <v>3500</v>
      </c>
    </row>
    <row r="506" spans="1:10" x14ac:dyDescent="0.2">
      <c r="A506" s="207" t="s">
        <v>1058</v>
      </c>
      <c r="B506" s="129" t="s">
        <v>1224</v>
      </c>
      <c r="C506" s="101" t="s">
        <v>1224</v>
      </c>
      <c r="D506" s="101" t="s">
        <v>1224</v>
      </c>
      <c r="E506" s="211">
        <v>2200</v>
      </c>
      <c r="F506" s="211">
        <v>7000</v>
      </c>
      <c r="G506" s="211">
        <v>3100</v>
      </c>
      <c r="H506" s="210">
        <v>7000</v>
      </c>
      <c r="I506" s="211">
        <v>7000</v>
      </c>
      <c r="J506" s="211">
        <v>7000</v>
      </c>
    </row>
    <row r="507" spans="1:10" x14ac:dyDescent="0.2">
      <c r="A507" s="207" t="s">
        <v>1058</v>
      </c>
      <c r="B507" s="129" t="s">
        <v>1225</v>
      </c>
      <c r="C507" s="101" t="s">
        <v>1225</v>
      </c>
      <c r="D507" s="101" t="s">
        <v>1225</v>
      </c>
      <c r="E507" s="211">
        <v>269623.7</v>
      </c>
      <c r="F507" s="211">
        <v>195000</v>
      </c>
      <c r="G507" s="211">
        <v>248000</v>
      </c>
      <c r="H507" s="210">
        <f>195000+30000</f>
        <v>225000</v>
      </c>
      <c r="I507" s="211">
        <f>195000+30000</f>
        <v>225000</v>
      </c>
      <c r="J507" s="211">
        <f>195000+30000</f>
        <v>225000</v>
      </c>
    </row>
    <row r="508" spans="1:10" x14ac:dyDescent="0.2">
      <c r="A508" s="207" t="s">
        <v>1058</v>
      </c>
      <c r="B508" s="129" t="s">
        <v>1226</v>
      </c>
      <c r="C508" s="101" t="s">
        <v>1226</v>
      </c>
      <c r="D508" s="101" t="s">
        <v>1226</v>
      </c>
      <c r="E508" s="211">
        <v>0</v>
      </c>
      <c r="F508" s="211">
        <v>0</v>
      </c>
      <c r="G508" s="211">
        <v>0</v>
      </c>
      <c r="H508" s="210">
        <v>0</v>
      </c>
      <c r="I508" s="211">
        <v>0</v>
      </c>
      <c r="J508" s="211">
        <v>0</v>
      </c>
    </row>
    <row r="509" spans="1:10" x14ac:dyDescent="0.2">
      <c r="A509" s="207" t="s">
        <v>1058</v>
      </c>
      <c r="B509" s="129" t="s">
        <v>466</v>
      </c>
      <c r="C509" s="101" t="s">
        <v>466</v>
      </c>
      <c r="D509" s="101" t="s">
        <v>466</v>
      </c>
      <c r="E509" s="211">
        <v>15931.2</v>
      </c>
      <c r="F509" s="211">
        <v>10000</v>
      </c>
      <c r="G509" s="211">
        <v>42700</v>
      </c>
      <c r="H509" s="210">
        <v>10000</v>
      </c>
      <c r="I509" s="211">
        <v>10000</v>
      </c>
      <c r="J509" s="211">
        <v>10000</v>
      </c>
    </row>
    <row r="510" spans="1:10" ht="15" customHeight="1" x14ac:dyDescent="0.2">
      <c r="A510" s="137" t="s">
        <v>1027</v>
      </c>
      <c r="B510" s="137"/>
      <c r="C510" s="137"/>
      <c r="D510" s="137"/>
      <c r="E510" s="138">
        <f t="shared" ref="E510:J510" si="76">SUM(E505:E509)</f>
        <v>288432.32</v>
      </c>
      <c r="F510" s="138">
        <f t="shared" si="76"/>
        <v>215500</v>
      </c>
      <c r="G510" s="138">
        <f t="shared" si="76"/>
        <v>294200</v>
      </c>
      <c r="H510" s="138">
        <f t="shared" si="76"/>
        <v>245500</v>
      </c>
      <c r="I510" s="138">
        <f t="shared" si="76"/>
        <v>245500</v>
      </c>
      <c r="J510" s="138">
        <f t="shared" si="76"/>
        <v>245500</v>
      </c>
    </row>
    <row r="511" spans="1:10" ht="15" customHeight="1" x14ac:dyDescent="0.2">
      <c r="A511" s="129"/>
      <c r="B511" s="129"/>
      <c r="C511" s="129"/>
      <c r="D511" s="129"/>
      <c r="E511" s="129"/>
      <c r="F511" s="129"/>
      <c r="G511" s="129"/>
      <c r="H511" s="129"/>
      <c r="I511" s="129"/>
      <c r="J511" s="129"/>
    </row>
    <row r="512" spans="1:10" ht="15" customHeight="1" x14ac:dyDescent="0.2">
      <c r="A512" s="128" t="s">
        <v>284</v>
      </c>
      <c r="B512" s="128"/>
      <c r="C512" s="128"/>
      <c r="D512" s="128"/>
      <c r="E512" s="128"/>
      <c r="F512" s="128"/>
      <c r="G512" s="128"/>
      <c r="H512" s="128"/>
      <c r="I512" s="128"/>
      <c r="J512" s="128"/>
    </row>
    <row r="513" spans="1:10" ht="33.75" x14ac:dyDescent="0.2">
      <c r="A513" s="152" t="s">
        <v>243</v>
      </c>
      <c r="B513" s="151" t="s">
        <v>242</v>
      </c>
      <c r="C513" s="151"/>
      <c r="D513" s="151"/>
      <c r="E513" s="132" t="str">
        <f t="shared" ref="E513:J513" si="77">E24</f>
        <v>Actuals           2014-2015</v>
      </c>
      <c r="F513" s="132" t="str">
        <f t="shared" si="77"/>
        <v>Approved Estimates          2015-2016</v>
      </c>
      <c r="G513" s="132" t="str">
        <f t="shared" si="77"/>
        <v>Revised Estimates                 2015-2016</v>
      </c>
      <c r="H513" s="132" t="str">
        <f t="shared" si="77"/>
        <v>Budget Estimates      2016-2017</v>
      </c>
      <c r="I513" s="132" t="str">
        <f t="shared" si="77"/>
        <v>Forward Estimates     2017-2018</v>
      </c>
      <c r="J513" s="132" t="str">
        <f t="shared" si="77"/>
        <v>Forward Estimates     2018-2019</v>
      </c>
    </row>
    <row r="514" spans="1:10" x14ac:dyDescent="0.2">
      <c r="A514" s="151" t="s">
        <v>7</v>
      </c>
      <c r="B514" s="151"/>
      <c r="C514" s="151"/>
      <c r="D514" s="151"/>
      <c r="E514" s="151"/>
      <c r="F514" s="151"/>
      <c r="G514" s="151"/>
      <c r="H514" s="151"/>
      <c r="I514" s="151"/>
      <c r="J514" s="190"/>
    </row>
    <row r="515" spans="1:10" x14ac:dyDescent="0.2">
      <c r="A515" s="207">
        <v>210</v>
      </c>
      <c r="B515" s="129" t="s">
        <v>7</v>
      </c>
      <c r="C515" s="101"/>
      <c r="D515" s="101"/>
      <c r="E515" s="211">
        <v>307140.78000000003</v>
      </c>
      <c r="F515" s="211">
        <v>345900</v>
      </c>
      <c r="G515" s="211">
        <v>329000</v>
      </c>
      <c r="H515" s="210">
        <v>345700</v>
      </c>
      <c r="I515" s="211">
        <v>365100</v>
      </c>
      <c r="J515" s="211">
        <v>369300</v>
      </c>
    </row>
    <row r="516" spans="1:10" x14ac:dyDescent="0.2">
      <c r="A516" s="207">
        <v>212</v>
      </c>
      <c r="B516" s="129" t="s">
        <v>9</v>
      </c>
      <c r="C516" s="101"/>
      <c r="D516" s="101"/>
      <c r="E516" s="211">
        <v>0</v>
      </c>
      <c r="F516" s="211">
        <v>0</v>
      </c>
      <c r="G516" s="211">
        <v>0</v>
      </c>
      <c r="H516" s="210">
        <v>0</v>
      </c>
      <c r="I516" s="211">
        <v>0</v>
      </c>
      <c r="J516" s="211">
        <v>0</v>
      </c>
    </row>
    <row r="517" spans="1:10" x14ac:dyDescent="0.2">
      <c r="A517" s="207">
        <v>216</v>
      </c>
      <c r="B517" s="129" t="s">
        <v>10</v>
      </c>
      <c r="C517" s="101"/>
      <c r="D517" s="101"/>
      <c r="E517" s="211">
        <v>30478.34</v>
      </c>
      <c r="F517" s="211">
        <v>43500</v>
      </c>
      <c r="G517" s="211">
        <v>31800</v>
      </c>
      <c r="H517" s="210">
        <v>36600</v>
      </c>
      <c r="I517" s="211">
        <v>36600</v>
      </c>
      <c r="J517" s="211">
        <v>36600</v>
      </c>
    </row>
    <row r="518" spans="1:10" x14ac:dyDescent="0.2">
      <c r="A518" s="207">
        <v>218</v>
      </c>
      <c r="B518" s="129" t="s">
        <v>294</v>
      </c>
      <c r="C518" s="101"/>
      <c r="D518" s="101"/>
      <c r="E518" s="211">
        <v>0</v>
      </c>
      <c r="F518" s="211">
        <v>2300</v>
      </c>
      <c r="G518" s="211">
        <v>2300</v>
      </c>
      <c r="H518" s="210">
        <v>0</v>
      </c>
      <c r="I518" s="211">
        <v>0</v>
      </c>
      <c r="J518" s="211">
        <v>0</v>
      </c>
    </row>
    <row r="519" spans="1:10" ht="15" customHeight="1" x14ac:dyDescent="0.2">
      <c r="A519" s="156" t="s">
        <v>295</v>
      </c>
      <c r="B519" s="156"/>
      <c r="C519" s="156"/>
      <c r="D519" s="156"/>
      <c r="E519" s="157">
        <f t="shared" ref="E519:J519" si="78">SUM(E515:E518)</f>
        <v>337619.12000000005</v>
      </c>
      <c r="F519" s="157">
        <f t="shared" si="78"/>
        <v>391700</v>
      </c>
      <c r="G519" s="157">
        <f t="shared" si="78"/>
        <v>363100</v>
      </c>
      <c r="H519" s="157">
        <f t="shared" si="78"/>
        <v>382300</v>
      </c>
      <c r="I519" s="157">
        <f t="shared" si="78"/>
        <v>401700</v>
      </c>
      <c r="J519" s="157">
        <f t="shared" si="78"/>
        <v>405900</v>
      </c>
    </row>
    <row r="520" spans="1:10" ht="10.9" customHeight="1" x14ac:dyDescent="0.2">
      <c r="A520" s="156" t="s">
        <v>296</v>
      </c>
      <c r="B520" s="156"/>
      <c r="C520" s="156"/>
      <c r="D520" s="156"/>
      <c r="E520" s="156"/>
      <c r="F520" s="156"/>
      <c r="G520" s="156"/>
      <c r="H520" s="156"/>
      <c r="I520" s="156"/>
      <c r="J520" s="190"/>
    </row>
    <row r="521" spans="1:10" x14ac:dyDescent="0.2">
      <c r="A521" s="207">
        <v>226</v>
      </c>
      <c r="B521" s="129" t="s">
        <v>207</v>
      </c>
      <c r="C521" s="101"/>
      <c r="D521" s="101"/>
      <c r="E521" s="211">
        <v>1971.97</v>
      </c>
      <c r="F521" s="211">
        <v>2000</v>
      </c>
      <c r="G521" s="211">
        <v>2000</v>
      </c>
      <c r="H521" s="210">
        <v>2000</v>
      </c>
      <c r="I521" s="211">
        <v>2000</v>
      </c>
      <c r="J521" s="211">
        <v>2000</v>
      </c>
    </row>
    <row r="522" spans="1:10" x14ac:dyDescent="0.2">
      <c r="A522" s="207">
        <v>228</v>
      </c>
      <c r="B522" s="129" t="s">
        <v>208</v>
      </c>
      <c r="C522" s="101"/>
      <c r="D522" s="101"/>
      <c r="E522" s="211">
        <v>9811.65</v>
      </c>
      <c r="F522" s="211">
        <v>10000</v>
      </c>
      <c r="G522" s="211">
        <v>10000</v>
      </c>
      <c r="H522" s="210">
        <v>10000</v>
      </c>
      <c r="I522" s="211">
        <v>10000</v>
      </c>
      <c r="J522" s="211">
        <v>10000</v>
      </c>
    </row>
    <row r="523" spans="1:10" x14ac:dyDescent="0.2">
      <c r="A523" s="207">
        <v>229</v>
      </c>
      <c r="B523" s="129" t="s">
        <v>576</v>
      </c>
      <c r="C523" s="101"/>
      <c r="D523" s="101"/>
      <c r="E523" s="211">
        <v>0</v>
      </c>
      <c r="F523" s="211">
        <v>8000</v>
      </c>
      <c r="G523" s="211">
        <v>8000</v>
      </c>
      <c r="H523" s="210">
        <v>8000</v>
      </c>
      <c r="I523" s="211">
        <v>8000</v>
      </c>
      <c r="J523" s="211">
        <v>8000</v>
      </c>
    </row>
    <row r="524" spans="1:10" x14ac:dyDescent="0.2">
      <c r="A524" s="207">
        <v>230</v>
      </c>
      <c r="B524" s="129" t="s">
        <v>210</v>
      </c>
      <c r="C524" s="101"/>
      <c r="D524" s="101"/>
      <c r="E524" s="211">
        <v>1000</v>
      </c>
      <c r="F524" s="211">
        <v>1500</v>
      </c>
      <c r="G524" s="211">
        <v>1500</v>
      </c>
      <c r="H524" s="210">
        <v>1500</v>
      </c>
      <c r="I524" s="211">
        <v>1500</v>
      </c>
      <c r="J524" s="211">
        <v>1500</v>
      </c>
    </row>
    <row r="525" spans="1:10" x14ac:dyDescent="0.2">
      <c r="A525" s="207">
        <v>232</v>
      </c>
      <c r="B525" s="129" t="s">
        <v>211</v>
      </c>
      <c r="C525" s="101"/>
      <c r="D525" s="101"/>
      <c r="E525" s="211">
        <v>14174.5</v>
      </c>
      <c r="F525" s="211">
        <v>15000</v>
      </c>
      <c r="G525" s="211">
        <v>15000</v>
      </c>
      <c r="H525" s="210">
        <v>15000</v>
      </c>
      <c r="I525" s="211">
        <v>15000</v>
      </c>
      <c r="J525" s="211">
        <v>15000</v>
      </c>
    </row>
    <row r="526" spans="1:10" x14ac:dyDescent="0.2">
      <c r="A526" s="207">
        <v>234</v>
      </c>
      <c r="B526" s="129" t="s">
        <v>212</v>
      </c>
      <c r="C526" s="101"/>
      <c r="D526" s="101"/>
      <c r="E526" s="211">
        <v>7200</v>
      </c>
      <c r="F526" s="211">
        <v>7200</v>
      </c>
      <c r="G526" s="211">
        <v>7200</v>
      </c>
      <c r="H526" s="210">
        <v>7200</v>
      </c>
      <c r="I526" s="211">
        <v>7200</v>
      </c>
      <c r="J526" s="211">
        <v>7200</v>
      </c>
    </row>
    <row r="527" spans="1:10" x14ac:dyDescent="0.2">
      <c r="A527" s="207">
        <v>236</v>
      </c>
      <c r="B527" s="129" t="s">
        <v>213</v>
      </c>
      <c r="C527" s="101"/>
      <c r="D527" s="101"/>
      <c r="E527" s="211">
        <v>55837.26</v>
      </c>
      <c r="F527" s="211">
        <v>56500</v>
      </c>
      <c r="G527" s="211">
        <v>51500</v>
      </c>
      <c r="H527" s="210">
        <f>56500+50000-50000</f>
        <v>56500</v>
      </c>
      <c r="I527" s="211">
        <f t="shared" ref="I527:J527" si="79">56500+50000-50000</f>
        <v>56500</v>
      </c>
      <c r="J527" s="211">
        <f t="shared" si="79"/>
        <v>56500</v>
      </c>
    </row>
    <row r="528" spans="1:10" x14ac:dyDescent="0.2">
      <c r="A528" s="207">
        <v>275</v>
      </c>
      <c r="B528" s="129" t="s">
        <v>228</v>
      </c>
      <c r="C528" s="101"/>
      <c r="D528" s="101"/>
      <c r="E528" s="211">
        <v>24978.25</v>
      </c>
      <c r="F528" s="211">
        <v>25000</v>
      </c>
      <c r="G528" s="211">
        <v>30000</v>
      </c>
      <c r="H528" s="210">
        <v>25000</v>
      </c>
      <c r="I528" s="211">
        <v>25000</v>
      </c>
      <c r="J528" s="211">
        <v>25000</v>
      </c>
    </row>
    <row r="529" spans="1:10" x14ac:dyDescent="0.2">
      <c r="A529" s="156" t="s">
        <v>298</v>
      </c>
      <c r="B529" s="156"/>
      <c r="C529" s="156"/>
      <c r="D529" s="156"/>
      <c r="E529" s="157">
        <f t="shared" ref="E529:J529" si="80">SUM(E521:E528)</f>
        <v>114973.63</v>
      </c>
      <c r="F529" s="264">
        <f t="shared" si="80"/>
        <v>125200</v>
      </c>
      <c r="G529" s="157">
        <f t="shared" si="80"/>
        <v>125200</v>
      </c>
      <c r="H529" s="157">
        <f t="shared" si="80"/>
        <v>125200</v>
      </c>
      <c r="I529" s="157">
        <f t="shared" si="80"/>
        <v>125200</v>
      </c>
      <c r="J529" s="157">
        <f t="shared" si="80"/>
        <v>125200</v>
      </c>
    </row>
    <row r="530" spans="1:10" x14ac:dyDescent="0.2">
      <c r="A530" s="159" t="s">
        <v>299</v>
      </c>
      <c r="B530" s="159"/>
      <c r="C530" s="159"/>
      <c r="D530" s="159"/>
      <c r="E530" s="160">
        <f t="shared" ref="E530:J530" si="81">SUM(E519,E529)</f>
        <v>452592.75000000006</v>
      </c>
      <c r="F530" s="160">
        <f t="shared" si="81"/>
        <v>516900</v>
      </c>
      <c r="G530" s="160">
        <f t="shared" si="81"/>
        <v>488300</v>
      </c>
      <c r="H530" s="160">
        <f t="shared" si="81"/>
        <v>507500</v>
      </c>
      <c r="I530" s="160">
        <f t="shared" si="81"/>
        <v>526900</v>
      </c>
      <c r="J530" s="160">
        <f t="shared" si="81"/>
        <v>531100</v>
      </c>
    </row>
    <row r="531" spans="1:10" ht="9" customHeight="1" x14ac:dyDescent="0.2">
      <c r="A531" s="129"/>
      <c r="B531" s="129"/>
      <c r="C531" s="129"/>
      <c r="D531" s="129"/>
      <c r="E531" s="129"/>
      <c r="F531" s="129"/>
      <c r="G531" s="129"/>
      <c r="H531" s="129"/>
      <c r="I531" s="129"/>
      <c r="J531" s="190"/>
    </row>
    <row r="532" spans="1:10" ht="12.75" customHeight="1" x14ac:dyDescent="0.2">
      <c r="A532" s="162" t="s">
        <v>15</v>
      </c>
      <c r="B532" s="162"/>
      <c r="C532" s="162"/>
      <c r="D532" s="162"/>
      <c r="E532" s="162"/>
      <c r="F532" s="162"/>
      <c r="G532" s="162"/>
      <c r="H532" s="162"/>
      <c r="I532" s="162"/>
      <c r="J532" s="162"/>
    </row>
    <row r="533" spans="1:10" ht="18" customHeight="1" x14ac:dyDescent="0.2">
      <c r="A533" s="131" t="s">
        <v>242</v>
      </c>
      <c r="B533" s="131"/>
      <c r="C533" s="131"/>
      <c r="D533" s="131"/>
      <c r="E533" s="128" t="str">
        <f t="shared" ref="E533:J533" si="82">E24</f>
        <v>Actuals           2014-2015</v>
      </c>
      <c r="F533" s="128" t="str">
        <f t="shared" si="82"/>
        <v>Approved Estimates          2015-2016</v>
      </c>
      <c r="G533" s="128" t="str">
        <f t="shared" si="82"/>
        <v>Revised Estimates                 2015-2016</v>
      </c>
      <c r="H533" s="128" t="str">
        <f t="shared" si="82"/>
        <v>Budget Estimates      2016-2017</v>
      </c>
      <c r="I533" s="128" t="str">
        <f t="shared" si="82"/>
        <v>Forward Estimates     2017-2018</v>
      </c>
      <c r="J533" s="128" t="str">
        <f t="shared" si="82"/>
        <v>Forward Estimates     2018-2019</v>
      </c>
    </row>
    <row r="534" spans="1:10" x14ac:dyDescent="0.2">
      <c r="A534" s="130" t="s">
        <v>243</v>
      </c>
      <c r="B534" s="130" t="s">
        <v>244</v>
      </c>
      <c r="C534" s="131" t="s">
        <v>245</v>
      </c>
      <c r="D534" s="131"/>
      <c r="E534" s="101"/>
      <c r="F534" s="101"/>
      <c r="G534" s="101"/>
      <c r="H534" s="101"/>
      <c r="I534" s="101"/>
      <c r="J534" s="101"/>
    </row>
    <row r="535" spans="1:10" ht="12" customHeight="1" x14ac:dyDescent="0.2">
      <c r="A535" s="163"/>
      <c r="B535" s="163"/>
      <c r="C535" s="156"/>
      <c r="D535" s="156"/>
      <c r="E535" s="158"/>
      <c r="F535" s="209"/>
      <c r="G535" s="158"/>
      <c r="H535" s="136"/>
      <c r="I535" s="158"/>
      <c r="J535" s="135"/>
    </row>
    <row r="536" spans="1:10" ht="12" customHeight="1" x14ac:dyDescent="0.2">
      <c r="A536" s="137" t="s">
        <v>15</v>
      </c>
      <c r="B536" s="137"/>
      <c r="C536" s="137"/>
      <c r="D536" s="137"/>
      <c r="E536" s="138">
        <v>0</v>
      </c>
      <c r="F536" s="138">
        <v>0</v>
      </c>
      <c r="G536" s="138">
        <v>0</v>
      </c>
      <c r="H536" s="138">
        <v>0</v>
      </c>
      <c r="I536" s="138">
        <v>0</v>
      </c>
      <c r="J536" s="138">
        <v>0</v>
      </c>
    </row>
    <row r="537" spans="1:10" ht="12" customHeight="1" x14ac:dyDescent="0.2">
      <c r="A537" s="290"/>
      <c r="B537" s="290"/>
      <c r="C537" s="290"/>
      <c r="D537" s="290"/>
      <c r="E537" s="290"/>
      <c r="F537" s="290"/>
      <c r="G537" s="290"/>
      <c r="H537" s="290"/>
      <c r="I537" s="290"/>
      <c r="J537" s="290"/>
    </row>
    <row r="538" spans="1:10" ht="12" customHeight="1" x14ac:dyDescent="0.2">
      <c r="A538" s="161" t="s">
        <v>288</v>
      </c>
      <c r="B538" s="161"/>
      <c r="C538" s="161"/>
      <c r="D538" s="161"/>
      <c r="E538" s="161"/>
      <c r="F538" s="202"/>
      <c r="G538" s="202"/>
      <c r="H538" s="202"/>
      <c r="I538" s="202"/>
      <c r="J538" s="202"/>
    </row>
    <row r="539" spans="1:10" x14ac:dyDescent="0.2">
      <c r="A539" s="131" t="s">
        <v>300</v>
      </c>
      <c r="B539" s="131"/>
      <c r="C539" s="131"/>
      <c r="D539" s="132" t="s">
        <v>301</v>
      </c>
      <c r="E539" s="132" t="s">
        <v>302</v>
      </c>
      <c r="F539" s="131" t="s">
        <v>300</v>
      </c>
      <c r="G539" s="131"/>
      <c r="H539" s="131"/>
      <c r="I539" s="132" t="s">
        <v>301</v>
      </c>
      <c r="J539" s="132" t="s">
        <v>302</v>
      </c>
    </row>
    <row r="540" spans="1:10" x14ac:dyDescent="0.2">
      <c r="A540" s="134" t="str">
        <f>Establishment!D292</f>
        <v>Director</v>
      </c>
      <c r="B540" s="134"/>
      <c r="C540" s="134"/>
      <c r="D540" s="133" t="str">
        <f>Establishment!E292</f>
        <v>R14-10/7</v>
      </c>
      <c r="E540" s="133">
        <f>Establishment!C292</f>
        <v>1</v>
      </c>
      <c r="F540" s="134" t="str">
        <f>Establishment!D295</f>
        <v>Clerical Officer</v>
      </c>
      <c r="G540" s="134"/>
      <c r="H540" s="134"/>
      <c r="I540" s="133" t="str">
        <f>Establishment!E295</f>
        <v>R46-34</v>
      </c>
      <c r="J540" s="133">
        <f>Establishment!C295</f>
        <v>5</v>
      </c>
    </row>
    <row r="541" spans="1:10" ht="14.25" customHeight="1" x14ac:dyDescent="0.2">
      <c r="A541" s="134" t="str">
        <f>Establishment!D293</f>
        <v>Assistant Secretary</v>
      </c>
      <c r="B541" s="134"/>
      <c r="C541" s="134"/>
      <c r="D541" s="133" t="str">
        <f>Establishment!E293</f>
        <v>R22-16</v>
      </c>
      <c r="E541" s="133">
        <f>Establishment!C293</f>
        <v>1</v>
      </c>
      <c r="F541" s="134" t="str">
        <f>Establishment!D296</f>
        <v>Postman</v>
      </c>
      <c r="G541" s="134"/>
      <c r="H541" s="134"/>
      <c r="I541" s="133" t="str">
        <f>Establishment!E296</f>
        <v>R48-38</v>
      </c>
      <c r="J541" s="133">
        <f>Establishment!C296</f>
        <v>1</v>
      </c>
    </row>
    <row r="542" spans="1:10" ht="14.25" customHeight="1" x14ac:dyDescent="0.2">
      <c r="A542" s="134" t="str">
        <f>Establishment!D294</f>
        <v>Executive Officer</v>
      </c>
      <c r="B542" s="134"/>
      <c r="C542" s="134"/>
      <c r="D542" s="133" t="str">
        <f>Establishment!E294</f>
        <v>R28-22</v>
      </c>
      <c r="E542" s="133">
        <f>Establishment!C294</f>
        <v>1</v>
      </c>
      <c r="F542" s="134" t="str">
        <f>Establishment!D297</f>
        <v>Office Attendant</v>
      </c>
      <c r="G542" s="134"/>
      <c r="H542" s="134"/>
      <c r="I542" s="133" t="str">
        <f>Establishment!E297</f>
        <v>R51-45</v>
      </c>
      <c r="J542" s="133">
        <f>Establishment!C297</f>
        <v>1</v>
      </c>
    </row>
    <row r="543" spans="1:10" x14ac:dyDescent="0.2">
      <c r="A543" s="203" t="s">
        <v>303</v>
      </c>
      <c r="B543" s="203"/>
      <c r="C543" s="203"/>
      <c r="D543" s="203"/>
      <c r="E543" s="203"/>
      <c r="F543" s="203"/>
      <c r="G543" s="203"/>
      <c r="H543" s="203"/>
      <c r="I543" s="203"/>
      <c r="J543" s="204">
        <f>SUM(E540:E542,J540:J542)</f>
        <v>10</v>
      </c>
    </row>
    <row r="544" spans="1:10" x14ac:dyDescent="0.2">
      <c r="A544" s="129"/>
      <c r="B544" s="129"/>
      <c r="C544" s="129"/>
      <c r="D544" s="129"/>
      <c r="E544" s="129"/>
      <c r="F544" s="179"/>
      <c r="G544" s="179"/>
      <c r="H544" s="179"/>
      <c r="I544" s="179"/>
      <c r="J544" s="179"/>
    </row>
    <row r="545" spans="1:10" x14ac:dyDescent="0.2">
      <c r="A545" s="180" t="s">
        <v>304</v>
      </c>
      <c r="B545" s="180"/>
      <c r="C545" s="180"/>
      <c r="D545" s="180"/>
      <c r="E545" s="180"/>
      <c r="F545" s="180"/>
      <c r="G545" s="180"/>
      <c r="H545" s="180"/>
      <c r="I545" s="180"/>
      <c r="J545" s="180"/>
    </row>
    <row r="546" spans="1:10" x14ac:dyDescent="0.2">
      <c r="A546" s="181" t="s">
        <v>305</v>
      </c>
      <c r="B546" s="181"/>
      <c r="C546" s="181"/>
      <c r="D546" s="181"/>
      <c r="E546" s="181"/>
      <c r="F546" s="181"/>
      <c r="G546" s="181"/>
      <c r="H546" s="181"/>
      <c r="I546" s="181"/>
      <c r="J546" s="181"/>
    </row>
    <row r="547" spans="1:10" x14ac:dyDescent="0.2">
      <c r="A547" s="129" t="s">
        <v>1227</v>
      </c>
      <c r="B547" s="129"/>
      <c r="C547" s="129"/>
      <c r="D547" s="129"/>
      <c r="E547" s="129"/>
      <c r="F547" s="129"/>
      <c r="G547" s="129"/>
      <c r="H547" s="129"/>
      <c r="I547" s="129"/>
      <c r="J547" s="129"/>
    </row>
    <row r="548" spans="1:10" x14ac:dyDescent="0.2">
      <c r="A548" s="129" t="s">
        <v>1228</v>
      </c>
      <c r="B548" s="129"/>
      <c r="C548" s="129"/>
      <c r="D548" s="129"/>
      <c r="E548" s="129"/>
      <c r="F548" s="129"/>
      <c r="G548" s="129"/>
      <c r="H548" s="129"/>
      <c r="I548" s="129"/>
      <c r="J548" s="129"/>
    </row>
    <row r="549" spans="1:10" x14ac:dyDescent="0.2">
      <c r="A549" s="129"/>
      <c r="B549" s="129"/>
      <c r="C549" s="129"/>
      <c r="D549" s="129"/>
      <c r="E549" s="129"/>
      <c r="F549" s="129"/>
      <c r="G549" s="129"/>
      <c r="H549" s="129"/>
      <c r="I549" s="129"/>
      <c r="J549" s="129"/>
    </row>
    <row r="550" spans="1:10" x14ac:dyDescent="0.2">
      <c r="A550" s="183" t="s">
        <v>415</v>
      </c>
      <c r="B550" s="183"/>
      <c r="C550" s="183"/>
      <c r="D550" s="183"/>
      <c r="E550" s="183"/>
      <c r="F550" s="183"/>
      <c r="G550" s="183"/>
      <c r="H550" s="183"/>
      <c r="I550" s="183"/>
      <c r="J550" s="183"/>
    </row>
    <row r="551" spans="1:10" x14ac:dyDescent="0.2">
      <c r="A551" s="129" t="s">
        <v>1229</v>
      </c>
      <c r="B551" s="129"/>
      <c r="C551" s="129"/>
      <c r="D551" s="129"/>
      <c r="E551" s="129"/>
      <c r="F551" s="129"/>
      <c r="G551" s="129"/>
      <c r="H551" s="129"/>
      <c r="I551" s="129"/>
      <c r="J551" s="129"/>
    </row>
    <row r="552" spans="1:10" x14ac:dyDescent="0.2">
      <c r="A552" s="129"/>
      <c r="B552" s="129"/>
      <c r="C552" s="129"/>
      <c r="D552" s="129"/>
      <c r="E552" s="129"/>
      <c r="F552" s="129"/>
      <c r="G552" s="129"/>
      <c r="H552" s="129"/>
      <c r="I552" s="129"/>
      <c r="J552" s="129"/>
    </row>
    <row r="553" spans="1:10" ht="22.5" x14ac:dyDescent="0.2">
      <c r="A553" s="180" t="s">
        <v>315</v>
      </c>
      <c r="B553" s="180"/>
      <c r="C553" s="180"/>
      <c r="D553" s="180"/>
      <c r="E553" s="180"/>
      <c r="F553" s="184" t="str">
        <f>F146</f>
        <v xml:space="preserve"> Actual 2014-2015</v>
      </c>
      <c r="G553" s="184" t="str">
        <f>G146</f>
        <v xml:space="preserve"> Estimate 2015-2016</v>
      </c>
      <c r="H553" s="184" t="str">
        <f>H146</f>
        <v xml:space="preserve"> Target 2016-2017</v>
      </c>
      <c r="I553" s="184" t="str">
        <f>I146</f>
        <v xml:space="preserve"> Target 2017-2018</v>
      </c>
      <c r="J553" s="184" t="str">
        <f>J146</f>
        <v xml:space="preserve"> Target 2018-2019</v>
      </c>
    </row>
    <row r="554" spans="1:10" x14ac:dyDescent="0.2">
      <c r="A554" s="180" t="s">
        <v>316</v>
      </c>
      <c r="B554" s="180"/>
      <c r="C554" s="180"/>
      <c r="D554" s="180"/>
      <c r="E554" s="180"/>
      <c r="F554" s="180"/>
      <c r="G554" s="180"/>
      <c r="H554" s="180"/>
      <c r="I554" s="180"/>
      <c r="J554" s="180"/>
    </row>
    <row r="555" spans="1:10" x14ac:dyDescent="0.2">
      <c r="A555" s="188" t="s">
        <v>1230</v>
      </c>
      <c r="B555" s="188"/>
      <c r="C555" s="188"/>
      <c r="D555" s="188"/>
      <c r="E555" s="188"/>
      <c r="F555" s="273"/>
      <c r="G555" s="190"/>
      <c r="H555" s="191">
        <v>100</v>
      </c>
      <c r="I555" s="191">
        <v>100</v>
      </c>
      <c r="J555" s="191">
        <v>100</v>
      </c>
    </row>
    <row r="556" spans="1:10" x14ac:dyDescent="0.2">
      <c r="A556" s="188" t="s">
        <v>1231</v>
      </c>
      <c r="B556" s="188"/>
      <c r="C556" s="188"/>
      <c r="D556" s="188"/>
      <c r="E556" s="188"/>
      <c r="F556" s="273"/>
      <c r="G556" s="190"/>
      <c r="H556" s="191">
        <v>1</v>
      </c>
      <c r="I556" s="191">
        <v>0</v>
      </c>
      <c r="J556" s="191">
        <v>0</v>
      </c>
    </row>
    <row r="557" spans="1:10" ht="27" customHeight="1" x14ac:dyDescent="0.2">
      <c r="A557" s="180" t="s">
        <v>324</v>
      </c>
      <c r="B557" s="180"/>
      <c r="C557" s="180"/>
      <c r="D557" s="180"/>
      <c r="E557" s="180"/>
      <c r="F557" s="180"/>
      <c r="G557" s="180"/>
      <c r="H557" s="180"/>
      <c r="I557" s="180"/>
      <c r="J557" s="180"/>
    </row>
    <row r="558" spans="1:10" x14ac:dyDescent="0.2">
      <c r="A558" s="188" t="s">
        <v>1232</v>
      </c>
      <c r="B558" s="188"/>
      <c r="C558" s="188"/>
      <c r="D558" s="188"/>
      <c r="E558" s="188"/>
      <c r="F558" s="273"/>
      <c r="G558" s="190"/>
      <c r="H558" s="191">
        <v>96</v>
      </c>
      <c r="I558" s="191">
        <v>96</v>
      </c>
      <c r="J558" s="191">
        <v>96</v>
      </c>
    </row>
    <row r="559" spans="1:10" x14ac:dyDescent="0.2">
      <c r="A559" s="188" t="s">
        <v>1233</v>
      </c>
      <c r="B559" s="188"/>
      <c r="C559" s="188"/>
      <c r="D559" s="188"/>
      <c r="E559" s="188"/>
      <c r="F559" s="441"/>
      <c r="G559" s="384"/>
      <c r="H559" s="271">
        <v>1</v>
      </c>
      <c r="I559" s="271">
        <v>1</v>
      </c>
      <c r="J559" s="271">
        <v>1</v>
      </c>
    </row>
    <row r="560" spans="1:10" x14ac:dyDescent="0.2">
      <c r="A560" s="129"/>
      <c r="B560" s="129"/>
      <c r="C560" s="129"/>
      <c r="D560" s="129"/>
      <c r="E560" s="129"/>
      <c r="F560" s="129"/>
      <c r="G560" s="129"/>
      <c r="H560" s="129"/>
      <c r="I560" s="129"/>
      <c r="J560" s="129"/>
    </row>
    <row r="561" spans="1:10" x14ac:dyDescent="0.2">
      <c r="A561" s="150" t="s">
        <v>1234</v>
      </c>
      <c r="B561" s="150"/>
      <c r="C561" s="150"/>
      <c r="D561" s="150"/>
      <c r="E561" s="150"/>
      <c r="F561" s="150"/>
      <c r="G561" s="150"/>
      <c r="H561" s="150"/>
      <c r="I561" s="150"/>
      <c r="J561" s="150"/>
    </row>
    <row r="562" spans="1:10" x14ac:dyDescent="0.2">
      <c r="A562" s="151" t="s">
        <v>291</v>
      </c>
      <c r="B562" s="151"/>
      <c r="C562" s="151"/>
      <c r="D562" s="101"/>
      <c r="E562" s="101"/>
      <c r="F562" s="101"/>
      <c r="G562" s="101"/>
      <c r="H562" s="101"/>
      <c r="I562" s="101"/>
      <c r="J562" s="101"/>
    </row>
    <row r="563" spans="1:10" ht="27" customHeight="1" x14ac:dyDescent="0.2">
      <c r="A563" s="129" t="s">
        <v>1235</v>
      </c>
      <c r="B563" s="129"/>
      <c r="C563" s="129"/>
      <c r="D563" s="129"/>
      <c r="E563" s="129"/>
      <c r="F563" s="129"/>
      <c r="G563" s="129"/>
      <c r="H563" s="129"/>
      <c r="I563" s="129"/>
      <c r="J563" s="129"/>
    </row>
    <row r="564" spans="1:10" x14ac:dyDescent="0.2">
      <c r="A564" s="128" t="s">
        <v>293</v>
      </c>
      <c r="B564" s="128"/>
      <c r="C564" s="128"/>
      <c r="D564" s="128"/>
      <c r="E564" s="128"/>
      <c r="F564" s="128"/>
      <c r="G564" s="128"/>
      <c r="H564" s="128"/>
      <c r="I564" s="128"/>
      <c r="J564" s="128"/>
    </row>
    <row r="565" spans="1:10" ht="33.75" x14ac:dyDescent="0.2">
      <c r="A565" s="152" t="s">
        <v>243</v>
      </c>
      <c r="B565" s="151" t="s">
        <v>242</v>
      </c>
      <c r="C565" s="151"/>
      <c r="D565" s="151"/>
      <c r="E565" s="132" t="str">
        <f t="shared" ref="E565:J565" si="83">E24</f>
        <v>Actuals           2014-2015</v>
      </c>
      <c r="F565" s="132" t="str">
        <f t="shared" si="83"/>
        <v>Approved Estimates          2015-2016</v>
      </c>
      <c r="G565" s="132" t="str">
        <f t="shared" si="83"/>
        <v>Revised Estimates                 2015-2016</v>
      </c>
      <c r="H565" s="132" t="str">
        <f t="shared" si="83"/>
        <v>Budget Estimates      2016-2017</v>
      </c>
      <c r="I565" s="132" t="str">
        <f t="shared" si="83"/>
        <v>Forward Estimates     2017-2018</v>
      </c>
      <c r="J565" s="132" t="str">
        <f t="shared" si="83"/>
        <v>Forward Estimates     2018-2019</v>
      </c>
    </row>
    <row r="566" spans="1:10" ht="15" customHeight="1" x14ac:dyDescent="0.2">
      <c r="A566" s="152"/>
      <c r="B566" s="129"/>
      <c r="C566" s="101"/>
      <c r="D566" s="101"/>
      <c r="E566" s="211"/>
      <c r="F566" s="209"/>
      <c r="G566" s="211"/>
      <c r="H566" s="210"/>
      <c r="I566" s="211"/>
      <c r="J566" s="211"/>
    </row>
    <row r="567" spans="1:10" ht="15" customHeight="1" x14ac:dyDescent="0.2">
      <c r="A567" s="137" t="s">
        <v>1027</v>
      </c>
      <c r="B567" s="137"/>
      <c r="C567" s="137"/>
      <c r="D567" s="137"/>
      <c r="E567" s="138">
        <f t="shared" ref="E567:J567" si="84">SUM(E566:E566)</f>
        <v>0</v>
      </c>
      <c r="F567" s="138">
        <f t="shared" si="84"/>
        <v>0</v>
      </c>
      <c r="G567" s="138">
        <f t="shared" si="84"/>
        <v>0</v>
      </c>
      <c r="H567" s="138">
        <f t="shared" si="84"/>
        <v>0</v>
      </c>
      <c r="I567" s="138">
        <f t="shared" si="84"/>
        <v>0</v>
      </c>
      <c r="J567" s="138">
        <f t="shared" si="84"/>
        <v>0</v>
      </c>
    </row>
    <row r="568" spans="1:10" ht="15" customHeight="1" x14ac:dyDescent="0.2">
      <c r="A568" s="129"/>
      <c r="B568" s="129"/>
      <c r="C568" s="129"/>
      <c r="D568" s="129"/>
      <c r="E568" s="129"/>
      <c r="F568" s="129"/>
      <c r="G568" s="129"/>
      <c r="H568" s="129"/>
      <c r="I568" s="129"/>
      <c r="J568" s="129"/>
    </row>
    <row r="569" spans="1:10" ht="15" customHeight="1" x14ac:dyDescent="0.2">
      <c r="A569" s="128" t="s">
        <v>284</v>
      </c>
      <c r="B569" s="128"/>
      <c r="C569" s="128"/>
      <c r="D569" s="128"/>
      <c r="E569" s="128"/>
      <c r="F569" s="128"/>
      <c r="G569" s="128"/>
      <c r="H569" s="128"/>
      <c r="I569" s="128"/>
      <c r="J569" s="128"/>
    </row>
    <row r="570" spans="1:10" ht="33.75" x14ac:dyDescent="0.2">
      <c r="A570" s="152" t="s">
        <v>243</v>
      </c>
      <c r="B570" s="151" t="s">
        <v>242</v>
      </c>
      <c r="C570" s="151"/>
      <c r="D570" s="151"/>
      <c r="E570" s="132" t="str">
        <f t="shared" ref="E570:J570" si="85">E24</f>
        <v>Actuals           2014-2015</v>
      </c>
      <c r="F570" s="132" t="str">
        <f t="shared" si="85"/>
        <v>Approved Estimates          2015-2016</v>
      </c>
      <c r="G570" s="132" t="str">
        <f t="shared" si="85"/>
        <v>Revised Estimates                 2015-2016</v>
      </c>
      <c r="H570" s="132" t="str">
        <f t="shared" si="85"/>
        <v>Budget Estimates      2016-2017</v>
      </c>
      <c r="I570" s="132" t="str">
        <f t="shared" si="85"/>
        <v>Forward Estimates     2017-2018</v>
      </c>
      <c r="J570" s="132" t="str">
        <f t="shared" si="85"/>
        <v>Forward Estimates     2018-2019</v>
      </c>
    </row>
    <row r="571" spans="1:10" x14ac:dyDescent="0.2">
      <c r="A571" s="151" t="s">
        <v>7</v>
      </c>
      <c r="B571" s="151"/>
      <c r="C571" s="151"/>
      <c r="D571" s="151"/>
      <c r="E571" s="151"/>
      <c r="F571" s="151"/>
      <c r="G571" s="151"/>
      <c r="H571" s="151"/>
      <c r="I571" s="151"/>
      <c r="J571" s="190"/>
    </row>
    <row r="572" spans="1:10" x14ac:dyDescent="0.2">
      <c r="A572" s="207">
        <v>210</v>
      </c>
      <c r="B572" s="129" t="s">
        <v>7</v>
      </c>
      <c r="C572" s="101"/>
      <c r="D572" s="101"/>
      <c r="E572" s="211">
        <v>268344</v>
      </c>
      <c r="F572" s="211">
        <v>299400</v>
      </c>
      <c r="G572" s="211">
        <v>259100</v>
      </c>
      <c r="H572" s="210">
        <v>285100</v>
      </c>
      <c r="I572" s="211">
        <v>319600</v>
      </c>
      <c r="J572" s="211">
        <v>322700</v>
      </c>
    </row>
    <row r="573" spans="1:10" x14ac:dyDescent="0.2">
      <c r="A573" s="207">
        <v>212</v>
      </c>
      <c r="B573" s="129" t="s">
        <v>9</v>
      </c>
      <c r="C573" s="101"/>
      <c r="D573" s="101"/>
      <c r="E573" s="211">
        <v>0</v>
      </c>
      <c r="F573" s="211">
        <v>0</v>
      </c>
      <c r="G573" s="211">
        <v>0</v>
      </c>
      <c r="H573" s="210">
        <v>0</v>
      </c>
      <c r="I573" s="211">
        <v>0</v>
      </c>
      <c r="J573" s="211">
        <v>0</v>
      </c>
    </row>
    <row r="574" spans="1:10" x14ac:dyDescent="0.2">
      <c r="A574" s="207">
        <v>216</v>
      </c>
      <c r="B574" s="129" t="s">
        <v>10</v>
      </c>
      <c r="C574" s="101"/>
      <c r="D574" s="101"/>
      <c r="E574" s="211">
        <v>33120</v>
      </c>
      <c r="F574" s="211">
        <v>33200</v>
      </c>
      <c r="G574" s="211">
        <v>33200</v>
      </c>
      <c r="H574" s="210">
        <v>33200</v>
      </c>
      <c r="I574" s="211">
        <v>33200</v>
      </c>
      <c r="J574" s="211">
        <v>33200</v>
      </c>
    </row>
    <row r="575" spans="1:10" x14ac:dyDescent="0.2">
      <c r="A575" s="207">
        <v>218</v>
      </c>
      <c r="B575" s="129" t="s">
        <v>294</v>
      </c>
      <c r="C575" s="101"/>
      <c r="D575" s="101"/>
      <c r="E575" s="211">
        <v>0</v>
      </c>
      <c r="F575" s="211">
        <v>0</v>
      </c>
      <c r="G575" s="211">
        <v>0</v>
      </c>
      <c r="H575" s="210">
        <v>0</v>
      </c>
      <c r="I575" s="211">
        <v>0</v>
      </c>
      <c r="J575" s="211">
        <v>0</v>
      </c>
    </row>
    <row r="576" spans="1:10" ht="15" customHeight="1" x14ac:dyDescent="0.2">
      <c r="A576" s="156" t="s">
        <v>295</v>
      </c>
      <c r="B576" s="156"/>
      <c r="C576" s="156"/>
      <c r="D576" s="156"/>
      <c r="E576" s="157">
        <f t="shared" ref="E576:J576" si="86">SUM(E572:E575)</f>
        <v>301464</v>
      </c>
      <c r="F576" s="157">
        <f t="shared" si="86"/>
        <v>332600</v>
      </c>
      <c r="G576" s="157">
        <f t="shared" si="86"/>
        <v>292300</v>
      </c>
      <c r="H576" s="157">
        <f t="shared" si="86"/>
        <v>318300</v>
      </c>
      <c r="I576" s="157">
        <f t="shared" si="86"/>
        <v>352800</v>
      </c>
      <c r="J576" s="157">
        <f t="shared" si="86"/>
        <v>355900</v>
      </c>
    </row>
    <row r="577" spans="1:10" ht="15" customHeight="1" x14ac:dyDescent="0.2">
      <c r="A577" s="156" t="s">
        <v>296</v>
      </c>
      <c r="B577" s="156"/>
      <c r="C577" s="156"/>
      <c r="D577" s="156"/>
      <c r="E577" s="156"/>
      <c r="F577" s="156"/>
      <c r="G577" s="156"/>
      <c r="H577" s="156"/>
      <c r="I577" s="156"/>
      <c r="J577" s="190"/>
    </row>
    <row r="578" spans="1:10" x14ac:dyDescent="0.2">
      <c r="A578" s="207">
        <v>220</v>
      </c>
      <c r="B578" s="129" t="s">
        <v>1151</v>
      </c>
      <c r="C578" s="101"/>
      <c r="D578" s="101"/>
      <c r="E578" s="211">
        <v>0</v>
      </c>
      <c r="F578" s="211">
        <v>0</v>
      </c>
      <c r="G578" s="211">
        <v>0</v>
      </c>
      <c r="H578" s="210">
        <v>600</v>
      </c>
      <c r="I578" s="211">
        <v>600</v>
      </c>
      <c r="J578" s="211">
        <v>600</v>
      </c>
    </row>
    <row r="579" spans="1:10" x14ac:dyDescent="0.2">
      <c r="A579" s="207">
        <v>222</v>
      </c>
      <c r="B579" s="129" t="s">
        <v>205</v>
      </c>
      <c r="C579" s="101"/>
      <c r="D579" s="101"/>
      <c r="E579" s="211">
        <v>20337.25</v>
      </c>
      <c r="F579" s="211">
        <v>22000</v>
      </c>
      <c r="G579" s="211">
        <v>22000</v>
      </c>
      <c r="H579" s="210">
        <v>22000</v>
      </c>
      <c r="I579" s="211">
        <v>22000</v>
      </c>
      <c r="J579" s="211">
        <v>22000</v>
      </c>
    </row>
    <row r="580" spans="1:10" x14ac:dyDescent="0.2">
      <c r="A580" s="207">
        <v>224</v>
      </c>
      <c r="B580" s="129" t="s">
        <v>206</v>
      </c>
      <c r="C580" s="101"/>
      <c r="D580" s="101"/>
      <c r="E580" s="211">
        <v>12442.1</v>
      </c>
      <c r="F580" s="211">
        <v>17400</v>
      </c>
      <c r="G580" s="211">
        <v>14200</v>
      </c>
      <c r="H580" s="210">
        <v>17400</v>
      </c>
      <c r="I580" s="211">
        <v>17400</v>
      </c>
      <c r="J580" s="211">
        <v>17400</v>
      </c>
    </row>
    <row r="581" spans="1:10" x14ac:dyDescent="0.2">
      <c r="A581" s="207">
        <v>226</v>
      </c>
      <c r="B581" s="129" t="s">
        <v>207</v>
      </c>
      <c r="C581" s="101"/>
      <c r="D581" s="101"/>
      <c r="E581" s="211">
        <v>1723.55</v>
      </c>
      <c r="F581" s="211">
        <v>4200</v>
      </c>
      <c r="G581" s="211">
        <v>5400</v>
      </c>
      <c r="H581" s="210">
        <v>4200</v>
      </c>
      <c r="I581" s="211">
        <v>4200</v>
      </c>
      <c r="J581" s="211">
        <v>4200</v>
      </c>
    </row>
    <row r="582" spans="1:10" x14ac:dyDescent="0.2">
      <c r="A582" s="207">
        <v>228</v>
      </c>
      <c r="B582" s="129" t="s">
        <v>208</v>
      </c>
      <c r="C582" s="101"/>
      <c r="D582" s="101"/>
      <c r="E582" s="211">
        <v>1500</v>
      </c>
      <c r="F582" s="211">
        <v>7000</v>
      </c>
      <c r="G582" s="211">
        <v>5000</v>
      </c>
      <c r="H582" s="210">
        <v>5400</v>
      </c>
      <c r="I582" s="211">
        <v>6400</v>
      </c>
      <c r="J582" s="211">
        <v>6400</v>
      </c>
    </row>
    <row r="583" spans="1:10" x14ac:dyDescent="0.2">
      <c r="A583" s="207">
        <v>229</v>
      </c>
      <c r="B583" s="129" t="s">
        <v>576</v>
      </c>
      <c r="C583" s="101"/>
      <c r="D583" s="101"/>
      <c r="E583" s="211">
        <v>5623.69</v>
      </c>
      <c r="F583" s="211">
        <v>20400</v>
      </c>
      <c r="G583" s="211">
        <v>9000</v>
      </c>
      <c r="H583" s="210">
        <v>0</v>
      </c>
      <c r="I583" s="211">
        <v>0</v>
      </c>
      <c r="J583" s="211">
        <v>20400</v>
      </c>
    </row>
    <row r="584" spans="1:10" x14ac:dyDescent="0.2">
      <c r="A584" s="207">
        <v>232</v>
      </c>
      <c r="B584" s="129" t="s">
        <v>211</v>
      </c>
      <c r="C584" s="101"/>
      <c r="D584" s="101"/>
      <c r="E584" s="211">
        <v>1339.5</v>
      </c>
      <c r="F584" s="211">
        <v>2400</v>
      </c>
      <c r="G584" s="211">
        <v>1200</v>
      </c>
      <c r="H584" s="210">
        <v>2400</v>
      </c>
      <c r="I584" s="211">
        <v>2400</v>
      </c>
      <c r="J584" s="211">
        <v>2400</v>
      </c>
    </row>
    <row r="585" spans="1:10" x14ac:dyDescent="0.2">
      <c r="A585" s="207">
        <v>236</v>
      </c>
      <c r="B585" s="129" t="s">
        <v>213</v>
      </c>
      <c r="C585" s="101"/>
      <c r="D585" s="101"/>
      <c r="E585" s="211">
        <v>4871.0200000000004</v>
      </c>
      <c r="F585" s="211">
        <v>5000</v>
      </c>
      <c r="G585" s="211">
        <v>5000</v>
      </c>
      <c r="H585" s="210">
        <v>17000</v>
      </c>
      <c r="I585" s="211">
        <v>17000</v>
      </c>
      <c r="J585" s="211">
        <v>17000</v>
      </c>
    </row>
    <row r="586" spans="1:10" x14ac:dyDescent="0.2">
      <c r="A586" s="207">
        <v>246</v>
      </c>
      <c r="B586" s="129" t="s">
        <v>218</v>
      </c>
      <c r="C586" s="101"/>
      <c r="D586" s="101"/>
      <c r="E586" s="211">
        <v>0</v>
      </c>
      <c r="F586" s="211">
        <v>1000</v>
      </c>
      <c r="G586" s="211">
        <v>1000</v>
      </c>
      <c r="H586" s="210">
        <v>2000</v>
      </c>
      <c r="I586" s="211">
        <v>1000</v>
      </c>
      <c r="J586" s="211">
        <v>1000</v>
      </c>
    </row>
    <row r="587" spans="1:10" x14ac:dyDescent="0.2">
      <c r="A587" s="207">
        <v>275</v>
      </c>
      <c r="B587" s="129" t="s">
        <v>228</v>
      </c>
      <c r="C587" s="101"/>
      <c r="D587" s="101"/>
      <c r="E587" s="211">
        <v>1204.95</v>
      </c>
      <c r="F587" s="211">
        <v>500</v>
      </c>
      <c r="G587" s="211">
        <v>0</v>
      </c>
      <c r="H587" s="210">
        <v>500</v>
      </c>
      <c r="I587" s="211">
        <v>500</v>
      </c>
      <c r="J587" s="211">
        <v>500</v>
      </c>
    </row>
    <row r="588" spans="1:10" x14ac:dyDescent="0.2">
      <c r="A588" s="156" t="s">
        <v>298</v>
      </c>
      <c r="B588" s="156"/>
      <c r="C588" s="156"/>
      <c r="D588" s="156"/>
      <c r="E588" s="157">
        <f t="shared" ref="E588:J588" si="87">SUM(E578:E587)</f>
        <v>49042.06</v>
      </c>
      <c r="F588" s="264">
        <f t="shared" si="87"/>
        <v>79900</v>
      </c>
      <c r="G588" s="157">
        <f t="shared" si="87"/>
        <v>62800</v>
      </c>
      <c r="H588" s="157">
        <f t="shared" si="87"/>
        <v>71500</v>
      </c>
      <c r="I588" s="157">
        <f t="shared" si="87"/>
        <v>71500</v>
      </c>
      <c r="J588" s="157">
        <f t="shared" si="87"/>
        <v>91900</v>
      </c>
    </row>
    <row r="589" spans="1:10" x14ac:dyDescent="0.2">
      <c r="A589" s="159" t="s">
        <v>299</v>
      </c>
      <c r="B589" s="159"/>
      <c r="C589" s="159"/>
      <c r="D589" s="159"/>
      <c r="E589" s="160">
        <f t="shared" ref="E589:J589" si="88">SUM(E576,E588)</f>
        <v>350506.06</v>
      </c>
      <c r="F589" s="160">
        <f t="shared" si="88"/>
        <v>412500</v>
      </c>
      <c r="G589" s="160">
        <f t="shared" si="88"/>
        <v>355100</v>
      </c>
      <c r="H589" s="160">
        <f t="shared" si="88"/>
        <v>389800</v>
      </c>
      <c r="I589" s="160">
        <f t="shared" si="88"/>
        <v>424300</v>
      </c>
      <c r="J589" s="160">
        <f t="shared" si="88"/>
        <v>447800</v>
      </c>
    </row>
    <row r="590" spans="1:10" ht="12" customHeight="1" x14ac:dyDescent="0.2">
      <c r="A590" s="129"/>
      <c r="B590" s="129"/>
      <c r="C590" s="129"/>
      <c r="D590" s="129"/>
      <c r="E590" s="129"/>
      <c r="F590" s="129"/>
      <c r="G590" s="129"/>
      <c r="H590" s="129"/>
      <c r="I590" s="129"/>
      <c r="J590" s="190"/>
    </row>
    <row r="591" spans="1:10" ht="11.25" customHeight="1" x14ac:dyDescent="0.2">
      <c r="A591" s="162" t="s">
        <v>15</v>
      </c>
      <c r="B591" s="162"/>
      <c r="C591" s="162"/>
      <c r="D591" s="162"/>
      <c r="E591" s="162"/>
      <c r="F591" s="162"/>
      <c r="G591" s="162"/>
      <c r="H591" s="162"/>
      <c r="I591" s="162"/>
      <c r="J591" s="162"/>
    </row>
    <row r="592" spans="1:10" ht="17.45" customHeight="1" x14ac:dyDescent="0.2">
      <c r="A592" s="131" t="s">
        <v>242</v>
      </c>
      <c r="B592" s="131"/>
      <c r="C592" s="131"/>
      <c r="D592" s="131"/>
      <c r="E592" s="128" t="str">
        <f t="shared" ref="E592:J592" si="89">E24</f>
        <v>Actuals           2014-2015</v>
      </c>
      <c r="F592" s="128" t="str">
        <f t="shared" si="89"/>
        <v>Approved Estimates          2015-2016</v>
      </c>
      <c r="G592" s="128" t="str">
        <f t="shared" si="89"/>
        <v>Revised Estimates                 2015-2016</v>
      </c>
      <c r="H592" s="128" t="str">
        <f t="shared" si="89"/>
        <v>Budget Estimates      2016-2017</v>
      </c>
      <c r="I592" s="128" t="str">
        <f t="shared" si="89"/>
        <v>Forward Estimates     2017-2018</v>
      </c>
      <c r="J592" s="128" t="str">
        <f t="shared" si="89"/>
        <v>Forward Estimates     2018-2019</v>
      </c>
    </row>
    <row r="593" spans="1:10" ht="16.5" customHeight="1" x14ac:dyDescent="0.2">
      <c r="A593" s="130" t="s">
        <v>243</v>
      </c>
      <c r="B593" s="130" t="s">
        <v>244</v>
      </c>
      <c r="C593" s="131" t="s">
        <v>245</v>
      </c>
      <c r="D593" s="131"/>
      <c r="E593" s="101"/>
      <c r="F593" s="101"/>
      <c r="G593" s="101"/>
      <c r="H593" s="101"/>
      <c r="I593" s="101"/>
      <c r="J593" s="101"/>
    </row>
    <row r="594" spans="1:10" ht="11.25" customHeight="1" x14ac:dyDescent="0.2">
      <c r="A594" s="163"/>
      <c r="B594" s="163"/>
      <c r="C594" s="156"/>
      <c r="D594" s="156"/>
      <c r="E594" s="158"/>
      <c r="F594" s="209"/>
      <c r="G594" s="158"/>
      <c r="H594" s="136"/>
      <c r="I594" s="158"/>
      <c r="J594" s="135"/>
    </row>
    <row r="595" spans="1:10" ht="11.25" customHeight="1" x14ac:dyDescent="0.2">
      <c r="A595" s="137" t="s">
        <v>15</v>
      </c>
      <c r="B595" s="137"/>
      <c r="C595" s="137"/>
      <c r="D595" s="137"/>
      <c r="E595" s="138">
        <v>0</v>
      </c>
      <c r="F595" s="138">
        <v>0</v>
      </c>
      <c r="G595" s="138">
        <v>0</v>
      </c>
      <c r="H595" s="138">
        <v>0</v>
      </c>
      <c r="I595" s="138">
        <v>0</v>
      </c>
      <c r="J595" s="138">
        <v>0</v>
      </c>
    </row>
    <row r="596" spans="1:10" x14ac:dyDescent="0.2">
      <c r="A596" s="290"/>
      <c r="B596" s="290"/>
      <c r="C596" s="290"/>
      <c r="D596" s="290"/>
      <c r="E596" s="290"/>
      <c r="F596" s="290"/>
      <c r="G596" s="290"/>
      <c r="H596" s="290"/>
      <c r="I596" s="290"/>
      <c r="J596" s="290"/>
    </row>
    <row r="597" spans="1:10" ht="12" customHeight="1" x14ac:dyDescent="0.2">
      <c r="A597" s="161" t="s">
        <v>288</v>
      </c>
      <c r="B597" s="161"/>
      <c r="C597" s="161"/>
      <c r="D597" s="161"/>
      <c r="E597" s="161"/>
      <c r="F597" s="202"/>
      <c r="G597" s="202"/>
      <c r="H597" s="202"/>
      <c r="I597" s="202"/>
      <c r="J597" s="202"/>
    </row>
    <row r="598" spans="1:10" x14ac:dyDescent="0.2">
      <c r="A598" s="131" t="s">
        <v>300</v>
      </c>
      <c r="B598" s="131"/>
      <c r="C598" s="131"/>
      <c r="D598" s="132" t="s">
        <v>301</v>
      </c>
      <c r="E598" s="291" t="s">
        <v>302</v>
      </c>
      <c r="F598" s="292"/>
      <c r="G598" s="220"/>
      <c r="H598" s="220"/>
      <c r="I598" s="220"/>
      <c r="J598" s="221"/>
    </row>
    <row r="599" spans="1:10" x14ac:dyDescent="0.2">
      <c r="A599" s="134" t="str">
        <f>Establishment!D301</f>
        <v>Chief Internal Auditor</v>
      </c>
      <c r="B599" s="134"/>
      <c r="C599" s="134"/>
      <c r="D599" s="133" t="str">
        <f>Establishment!E301</f>
        <v>R7</v>
      </c>
      <c r="E599" s="268">
        <f>Establishment!C301</f>
        <v>1</v>
      </c>
      <c r="F599" s="293"/>
      <c r="G599" s="171"/>
      <c r="H599" s="171"/>
      <c r="I599" s="171"/>
      <c r="J599" s="174"/>
    </row>
    <row r="600" spans="1:10" x14ac:dyDescent="0.2">
      <c r="A600" s="134" t="str">
        <f>Establishment!D302</f>
        <v>Audit Manager</v>
      </c>
      <c r="B600" s="134"/>
      <c r="C600" s="134"/>
      <c r="D600" s="133" t="str">
        <f>Establishment!E302</f>
        <v>R22-16/17-13</v>
      </c>
      <c r="E600" s="268">
        <f>Establishment!C302</f>
        <v>2</v>
      </c>
      <c r="F600" s="293"/>
      <c r="G600" s="171"/>
      <c r="H600" s="171"/>
      <c r="I600" s="171"/>
      <c r="J600" s="174"/>
    </row>
    <row r="601" spans="1:10" x14ac:dyDescent="0.2">
      <c r="A601" s="134" t="str">
        <f>Establishment!D303</f>
        <v>Internal Auditor</v>
      </c>
      <c r="B601" s="134"/>
      <c r="C601" s="134"/>
      <c r="D601" s="133" t="str">
        <f>Establishment!E303</f>
        <v>R28-22</v>
      </c>
      <c r="E601" s="268">
        <f>Establishment!C303</f>
        <v>4</v>
      </c>
      <c r="F601" s="293"/>
      <c r="G601" s="171"/>
      <c r="H601" s="171"/>
      <c r="I601" s="171"/>
      <c r="J601" s="174"/>
    </row>
    <row r="602" spans="1:10" ht="13.5" customHeight="1" x14ac:dyDescent="0.2">
      <c r="A602" s="159" t="s">
        <v>303</v>
      </c>
      <c r="B602" s="159"/>
      <c r="C602" s="159"/>
      <c r="D602" s="159"/>
      <c r="E602" s="294">
        <f>SUM(E599:E601)</f>
        <v>7</v>
      </c>
      <c r="F602" s="295"/>
      <c r="G602" s="177"/>
      <c r="H602" s="177"/>
      <c r="I602" s="177"/>
      <c r="J602" s="178"/>
    </row>
    <row r="603" spans="1:10" ht="12" customHeight="1" x14ac:dyDescent="0.2">
      <c r="A603" s="129"/>
      <c r="B603" s="129"/>
      <c r="C603" s="129"/>
      <c r="D603" s="129"/>
      <c r="E603" s="129"/>
      <c r="F603" s="179"/>
      <c r="G603" s="179"/>
      <c r="H603" s="179"/>
      <c r="I603" s="179"/>
      <c r="J603" s="179"/>
    </row>
    <row r="604" spans="1:10" x14ac:dyDescent="0.2">
      <c r="A604" s="180" t="s">
        <v>304</v>
      </c>
      <c r="B604" s="180"/>
      <c r="C604" s="180"/>
      <c r="D604" s="180"/>
      <c r="E604" s="180"/>
      <c r="F604" s="180"/>
      <c r="G604" s="180"/>
      <c r="H604" s="180"/>
      <c r="I604" s="180"/>
      <c r="J604" s="180"/>
    </row>
    <row r="605" spans="1:10" x14ac:dyDescent="0.2">
      <c r="A605" s="181" t="s">
        <v>305</v>
      </c>
      <c r="B605" s="181"/>
      <c r="C605" s="181"/>
      <c r="D605" s="181"/>
      <c r="E605" s="181"/>
      <c r="F605" s="181"/>
      <c r="G605" s="181"/>
      <c r="H605" s="181"/>
      <c r="I605" s="181"/>
      <c r="J605" s="181"/>
    </row>
    <row r="606" spans="1:10" x14ac:dyDescent="0.2">
      <c r="A606" s="129" t="s">
        <v>1236</v>
      </c>
      <c r="B606" s="129"/>
      <c r="C606" s="129"/>
      <c r="D606" s="129"/>
      <c r="E606" s="129"/>
      <c r="F606" s="129"/>
      <c r="G606" s="129"/>
      <c r="H606" s="129"/>
      <c r="I606" s="129"/>
      <c r="J606" s="129"/>
    </row>
    <row r="607" spans="1:10" ht="23.25" customHeight="1" x14ac:dyDescent="0.2">
      <c r="A607" s="129" t="s">
        <v>1237</v>
      </c>
      <c r="B607" s="129"/>
      <c r="C607" s="129"/>
      <c r="D607" s="129"/>
      <c r="E607" s="129"/>
      <c r="F607" s="129"/>
      <c r="G607" s="129"/>
      <c r="H607" s="129"/>
      <c r="I607" s="129"/>
      <c r="J607" s="129"/>
    </row>
    <row r="608" spans="1:10" ht="24" customHeight="1" x14ac:dyDescent="0.2">
      <c r="A608" s="129" t="s">
        <v>1238</v>
      </c>
      <c r="B608" s="129"/>
      <c r="C608" s="129"/>
      <c r="D608" s="129"/>
      <c r="E608" s="129"/>
      <c r="F608" s="129"/>
      <c r="G608" s="129"/>
      <c r="H608" s="129"/>
      <c r="I608" s="129"/>
      <c r="J608" s="129"/>
    </row>
    <row r="609" spans="1:10" x14ac:dyDescent="0.2">
      <c r="A609" s="129"/>
      <c r="B609" s="129"/>
      <c r="C609" s="129"/>
      <c r="D609" s="129"/>
      <c r="E609" s="129"/>
      <c r="F609" s="129"/>
      <c r="G609" s="129"/>
      <c r="H609" s="129"/>
      <c r="I609" s="129"/>
      <c r="J609" s="129"/>
    </row>
    <row r="610" spans="1:10" x14ac:dyDescent="0.2">
      <c r="A610" s="183" t="s">
        <v>415</v>
      </c>
      <c r="B610" s="183"/>
      <c r="C610" s="183"/>
      <c r="D610" s="183"/>
      <c r="E610" s="183"/>
      <c r="F610" s="183"/>
      <c r="G610" s="183"/>
      <c r="H610" s="183"/>
      <c r="I610" s="183"/>
      <c r="J610" s="183"/>
    </row>
    <row r="611" spans="1:10" x14ac:dyDescent="0.2">
      <c r="A611" s="129"/>
      <c r="B611" s="129"/>
      <c r="C611" s="129"/>
      <c r="D611" s="129"/>
      <c r="E611" s="129"/>
      <c r="F611" s="129"/>
      <c r="G611" s="129"/>
      <c r="H611" s="129"/>
      <c r="I611" s="129"/>
      <c r="J611" s="129"/>
    </row>
    <row r="612" spans="1:10" x14ac:dyDescent="0.2">
      <c r="A612" s="129"/>
      <c r="B612" s="129"/>
      <c r="C612" s="129"/>
      <c r="D612" s="129"/>
      <c r="E612" s="129"/>
      <c r="F612" s="129"/>
      <c r="G612" s="129"/>
      <c r="H612" s="129"/>
      <c r="I612" s="129"/>
      <c r="J612" s="129"/>
    </row>
    <row r="613" spans="1:10" x14ac:dyDescent="0.2">
      <c r="A613" s="129"/>
      <c r="B613" s="129"/>
      <c r="C613" s="129"/>
      <c r="D613" s="129"/>
      <c r="E613" s="129"/>
      <c r="F613" s="129"/>
      <c r="G613" s="129"/>
      <c r="H613" s="129"/>
      <c r="I613" s="129"/>
      <c r="J613" s="129"/>
    </row>
    <row r="614" spans="1:10" ht="22.5" x14ac:dyDescent="0.2">
      <c r="A614" s="180" t="s">
        <v>315</v>
      </c>
      <c r="B614" s="180"/>
      <c r="C614" s="180"/>
      <c r="D614" s="180"/>
      <c r="E614" s="180"/>
      <c r="F614" s="184" t="str">
        <f>F146</f>
        <v xml:space="preserve"> Actual 2014-2015</v>
      </c>
      <c r="G614" s="184" t="str">
        <f>G146</f>
        <v xml:space="preserve"> Estimate 2015-2016</v>
      </c>
      <c r="H614" s="184" t="str">
        <f>H146</f>
        <v xml:space="preserve"> Target 2016-2017</v>
      </c>
      <c r="I614" s="184" t="str">
        <f>I146</f>
        <v xml:space="preserve"> Target 2017-2018</v>
      </c>
      <c r="J614" s="184" t="str">
        <f>J146</f>
        <v xml:space="preserve"> Target 2018-2019</v>
      </c>
    </row>
    <row r="615" spans="1:10" x14ac:dyDescent="0.2">
      <c r="A615" s="180" t="s">
        <v>316</v>
      </c>
      <c r="B615" s="180"/>
      <c r="C615" s="180"/>
      <c r="D615" s="180"/>
      <c r="E615" s="180"/>
      <c r="F615" s="180"/>
      <c r="G615" s="180"/>
      <c r="H615" s="180"/>
      <c r="I615" s="180"/>
      <c r="J615" s="180"/>
    </row>
    <row r="616" spans="1:10" ht="12" customHeight="1" x14ac:dyDescent="0.2">
      <c r="A616" s="188" t="s">
        <v>1239</v>
      </c>
      <c r="B616" s="188"/>
      <c r="C616" s="188"/>
      <c r="D616" s="188"/>
      <c r="E616" s="188"/>
      <c r="F616" s="272" t="s">
        <v>948</v>
      </c>
      <c r="G616" s="191" t="s">
        <v>539</v>
      </c>
      <c r="H616" s="191" t="s">
        <v>377</v>
      </c>
      <c r="I616" s="191" t="s">
        <v>377</v>
      </c>
      <c r="J616" s="191" t="s">
        <v>377</v>
      </c>
    </row>
    <row r="617" spans="1:10" ht="12" customHeight="1" x14ac:dyDescent="0.2">
      <c r="A617" s="188" t="s">
        <v>1240</v>
      </c>
      <c r="B617" s="188"/>
      <c r="C617" s="188"/>
      <c r="D617" s="188"/>
      <c r="E617" s="188"/>
      <c r="F617" s="270">
        <v>0</v>
      </c>
      <c r="G617" s="271">
        <v>0.5</v>
      </c>
      <c r="H617" s="271">
        <v>1</v>
      </c>
      <c r="I617" s="271">
        <v>1</v>
      </c>
      <c r="J617" s="271">
        <v>1</v>
      </c>
    </row>
    <row r="618" spans="1:10" ht="12" customHeight="1" x14ac:dyDescent="0.2">
      <c r="A618" s="188" t="s">
        <v>1241</v>
      </c>
      <c r="B618" s="188"/>
      <c r="C618" s="188"/>
      <c r="D618" s="188"/>
      <c r="E618" s="188"/>
      <c r="F618" s="272">
        <v>4</v>
      </c>
      <c r="G618" s="191">
        <v>4</v>
      </c>
      <c r="H618" s="191">
        <v>6</v>
      </c>
      <c r="I618" s="191">
        <v>8</v>
      </c>
      <c r="J618" s="191">
        <v>10</v>
      </c>
    </row>
    <row r="619" spans="1:10" ht="12" customHeight="1" x14ac:dyDescent="0.2">
      <c r="A619" s="188"/>
      <c r="B619" s="188"/>
      <c r="C619" s="188"/>
      <c r="D619" s="188"/>
      <c r="E619" s="188"/>
      <c r="F619" s="273"/>
      <c r="G619" s="190"/>
      <c r="H619" s="190"/>
      <c r="I619" s="190"/>
      <c r="J619" s="190"/>
    </row>
    <row r="620" spans="1:10" ht="26.25" customHeight="1" x14ac:dyDescent="0.2">
      <c r="A620" s="180" t="s">
        <v>324</v>
      </c>
      <c r="B620" s="180"/>
      <c r="C620" s="180"/>
      <c r="D620" s="180"/>
      <c r="E620" s="180"/>
      <c r="F620" s="180"/>
      <c r="G620" s="180"/>
      <c r="H620" s="180"/>
      <c r="I620" s="180"/>
      <c r="J620" s="180"/>
    </row>
    <row r="621" spans="1:10" ht="12" customHeight="1" x14ac:dyDescent="0.2">
      <c r="A621" s="188" t="s">
        <v>1242</v>
      </c>
      <c r="B621" s="188"/>
      <c r="C621" s="188"/>
      <c r="D621" s="188"/>
      <c r="E621" s="188"/>
      <c r="F621" s="272">
        <v>0</v>
      </c>
      <c r="G621" s="272">
        <v>0</v>
      </c>
      <c r="H621" s="272">
        <v>4</v>
      </c>
      <c r="I621" s="272">
        <v>4</v>
      </c>
      <c r="J621" s="272">
        <v>4</v>
      </c>
    </row>
    <row r="622" spans="1:10" ht="12" customHeight="1" x14ac:dyDescent="0.2">
      <c r="A622" s="188" t="s">
        <v>1243</v>
      </c>
      <c r="B622" s="188"/>
      <c r="C622" s="188"/>
      <c r="D622" s="188"/>
      <c r="E622" s="188"/>
      <c r="F622" s="272">
        <v>100</v>
      </c>
      <c r="G622" s="272">
        <v>100</v>
      </c>
      <c r="H622" s="272">
        <v>30</v>
      </c>
      <c r="I622" s="272">
        <v>25</v>
      </c>
      <c r="J622" s="272">
        <v>20</v>
      </c>
    </row>
    <row r="623" spans="1:10" ht="12" customHeight="1" x14ac:dyDescent="0.2">
      <c r="A623" s="307"/>
      <c r="B623" s="308"/>
      <c r="C623" s="308"/>
      <c r="D623" s="308"/>
      <c r="E623" s="308"/>
      <c r="F623" s="308"/>
      <c r="G623" s="308"/>
      <c r="H623" s="308"/>
      <c r="I623" s="308"/>
      <c r="J623" s="309"/>
    </row>
    <row r="624" spans="1:10" ht="12" customHeight="1" x14ac:dyDescent="0.2">
      <c r="A624" s="222"/>
      <c r="B624" s="222"/>
      <c r="C624" s="222"/>
      <c r="D624" s="222"/>
      <c r="E624" s="274" t="s">
        <v>382</v>
      </c>
      <c r="F624" s="229"/>
      <c r="G624" s="222"/>
      <c r="H624" s="222"/>
      <c r="I624" s="222"/>
      <c r="J624" s="223" t="s">
        <v>766</v>
      </c>
    </row>
    <row r="625" spans="1:10" ht="34.5" thickBot="1" x14ac:dyDescent="0.25">
      <c r="A625" s="224"/>
      <c r="B625" s="224" t="s">
        <v>188</v>
      </c>
      <c r="C625" s="225"/>
      <c r="D625" s="226"/>
      <c r="E625" s="184" t="str">
        <f t="shared" ref="E625:J625" si="90">E24</f>
        <v>Actuals           2014-2015</v>
      </c>
      <c r="F625" s="184" t="str">
        <f t="shared" si="90"/>
        <v>Approved Estimates          2015-2016</v>
      </c>
      <c r="G625" s="184" t="str">
        <f t="shared" si="90"/>
        <v>Revised Estimates                 2015-2016</v>
      </c>
      <c r="H625" s="184" t="str">
        <f t="shared" si="90"/>
        <v>Budget Estimates      2016-2017</v>
      </c>
      <c r="I625" s="184" t="str">
        <f t="shared" si="90"/>
        <v>Forward Estimates     2017-2018</v>
      </c>
      <c r="J625" s="184" t="str">
        <f t="shared" si="90"/>
        <v>Forward Estimates     2018-2019</v>
      </c>
    </row>
    <row r="626" spans="1:10" ht="11.45" customHeight="1" x14ac:dyDescent="0.2">
      <c r="A626" s="229" t="s">
        <v>7</v>
      </c>
      <c r="B626" s="227"/>
      <c r="C626" s="227"/>
      <c r="D626" s="227"/>
      <c r="E626" s="227"/>
      <c r="F626" s="227"/>
      <c r="G626" s="227"/>
      <c r="H626" s="227"/>
      <c r="I626" s="228"/>
      <c r="J626" s="227"/>
    </row>
    <row r="627" spans="1:10" ht="12" customHeight="1" x14ac:dyDescent="0.2">
      <c r="A627" s="222"/>
      <c r="B627" s="222" t="s">
        <v>501</v>
      </c>
      <c r="C627" s="222"/>
      <c r="D627" s="222"/>
      <c r="E627" s="231">
        <f t="shared" ref="E627:J627" si="91">E96</f>
        <v>419874.15</v>
      </c>
      <c r="F627" s="231">
        <f t="shared" si="91"/>
        <v>461700</v>
      </c>
      <c r="G627" s="231">
        <f t="shared" si="91"/>
        <v>317700</v>
      </c>
      <c r="H627" s="231">
        <f t="shared" si="91"/>
        <v>460500</v>
      </c>
      <c r="I627" s="231">
        <f t="shared" si="91"/>
        <v>463000</v>
      </c>
      <c r="J627" s="231">
        <f t="shared" si="91"/>
        <v>465600</v>
      </c>
    </row>
    <row r="628" spans="1:10" ht="11.25" customHeight="1" x14ac:dyDescent="0.2">
      <c r="A628" s="222"/>
      <c r="B628" s="222" t="s">
        <v>1021</v>
      </c>
      <c r="C628" s="222"/>
      <c r="D628" s="222"/>
      <c r="E628" s="231">
        <f t="shared" ref="E628:J628" si="92">E181</f>
        <v>327448.09000000003</v>
      </c>
      <c r="F628" s="231">
        <f t="shared" si="92"/>
        <v>433900</v>
      </c>
      <c r="G628" s="231">
        <f t="shared" si="92"/>
        <v>390300</v>
      </c>
      <c r="H628" s="231">
        <f t="shared" si="92"/>
        <v>432900</v>
      </c>
      <c r="I628" s="231">
        <f t="shared" si="92"/>
        <v>491800</v>
      </c>
      <c r="J628" s="231">
        <f t="shared" si="92"/>
        <v>496500</v>
      </c>
    </row>
    <row r="629" spans="1:10" ht="12" customHeight="1" x14ac:dyDescent="0.2">
      <c r="A629" s="222"/>
      <c r="B629" s="222" t="s">
        <v>1022</v>
      </c>
      <c r="C629" s="222"/>
      <c r="D629" s="222"/>
      <c r="E629" s="231">
        <f t="shared" ref="E629:J629" si="93">E264</f>
        <v>294175.46999999997</v>
      </c>
      <c r="F629" s="231">
        <f t="shared" si="93"/>
        <v>381000</v>
      </c>
      <c r="G629" s="231">
        <f t="shared" si="93"/>
        <v>360300</v>
      </c>
      <c r="H629" s="231">
        <f t="shared" si="93"/>
        <v>356600</v>
      </c>
      <c r="I629" s="231">
        <f t="shared" si="93"/>
        <v>385700</v>
      </c>
      <c r="J629" s="231">
        <f t="shared" si="93"/>
        <v>390400</v>
      </c>
    </row>
    <row r="630" spans="1:10" ht="12" customHeight="1" x14ac:dyDescent="0.2">
      <c r="A630" s="222"/>
      <c r="B630" s="222" t="s">
        <v>1023</v>
      </c>
      <c r="C630" s="222"/>
      <c r="D630" s="222"/>
      <c r="E630" s="231">
        <f>E345+E346</f>
        <v>498642.7</v>
      </c>
      <c r="F630" s="231">
        <f>F345</f>
        <v>598600</v>
      </c>
      <c r="G630" s="231">
        <f>G345</f>
        <v>583700</v>
      </c>
      <c r="H630" s="231">
        <f>H345</f>
        <v>574400</v>
      </c>
      <c r="I630" s="231">
        <f>I345</f>
        <v>621000</v>
      </c>
      <c r="J630" s="231">
        <f>J345</f>
        <v>633300</v>
      </c>
    </row>
    <row r="631" spans="1:10" ht="12" customHeight="1" x14ac:dyDescent="0.2">
      <c r="A631" s="233"/>
      <c r="B631" s="233" t="s">
        <v>1024</v>
      </c>
      <c r="C631" s="233"/>
      <c r="D631" s="233"/>
      <c r="E631" s="231">
        <f t="shared" ref="E631:J631" si="94">E429</f>
        <v>1577189.53</v>
      </c>
      <c r="F631" s="231">
        <f t="shared" si="94"/>
        <v>1723300</v>
      </c>
      <c r="G631" s="231">
        <f t="shared" si="94"/>
        <v>1723400</v>
      </c>
      <c r="H631" s="231">
        <f t="shared" si="94"/>
        <v>1789100</v>
      </c>
      <c r="I631" s="231">
        <f t="shared" si="94"/>
        <v>1906800</v>
      </c>
      <c r="J631" s="231">
        <f t="shared" si="94"/>
        <v>1944700</v>
      </c>
    </row>
    <row r="632" spans="1:10" ht="12" customHeight="1" x14ac:dyDescent="0.2">
      <c r="A632" s="222"/>
      <c r="B632" s="222" t="s">
        <v>1025</v>
      </c>
      <c r="C632" s="222"/>
      <c r="D632" s="222"/>
      <c r="E632" s="231">
        <f t="shared" ref="E632:J632" si="95">E515</f>
        <v>307140.78000000003</v>
      </c>
      <c r="F632" s="231">
        <f t="shared" si="95"/>
        <v>345900</v>
      </c>
      <c r="G632" s="231">
        <f t="shared" si="95"/>
        <v>329000</v>
      </c>
      <c r="H632" s="231">
        <f t="shared" si="95"/>
        <v>345700</v>
      </c>
      <c r="I632" s="231">
        <f t="shared" si="95"/>
        <v>365100</v>
      </c>
      <c r="J632" s="231">
        <f t="shared" si="95"/>
        <v>369300</v>
      </c>
    </row>
    <row r="633" spans="1:10" ht="12" customHeight="1" x14ac:dyDescent="0.2">
      <c r="A633" s="222"/>
      <c r="B633" s="222" t="s">
        <v>1026</v>
      </c>
      <c r="C633" s="222"/>
      <c r="D633" s="222"/>
      <c r="E633" s="232">
        <f t="shared" ref="E633:J633" si="96">E572</f>
        <v>268344</v>
      </c>
      <c r="F633" s="232">
        <f t="shared" si="96"/>
        <v>299400</v>
      </c>
      <c r="G633" s="232">
        <f t="shared" si="96"/>
        <v>259100</v>
      </c>
      <c r="H633" s="232">
        <f t="shared" si="96"/>
        <v>285100</v>
      </c>
      <c r="I633" s="232">
        <f t="shared" si="96"/>
        <v>319600</v>
      </c>
      <c r="J633" s="232">
        <f t="shared" si="96"/>
        <v>322700</v>
      </c>
    </row>
    <row r="634" spans="1:10" ht="11.45" customHeight="1" thickBot="1" x14ac:dyDescent="0.25">
      <c r="A634" s="222"/>
      <c r="B634" s="222"/>
      <c r="C634" s="229" t="s">
        <v>385</v>
      </c>
      <c r="D634" s="235"/>
      <c r="E634" s="236">
        <f t="shared" ref="E634:J634" si="97">SUM(E627:E633)</f>
        <v>3692814.7199999997</v>
      </c>
      <c r="F634" s="236">
        <f t="shared" si="97"/>
        <v>4243800</v>
      </c>
      <c r="G634" s="236">
        <f t="shared" si="97"/>
        <v>3963500</v>
      </c>
      <c r="H634" s="236">
        <f t="shared" si="97"/>
        <v>4244300</v>
      </c>
      <c r="I634" s="236">
        <f t="shared" si="97"/>
        <v>4553000</v>
      </c>
      <c r="J634" s="236">
        <f t="shared" si="97"/>
        <v>4622500</v>
      </c>
    </row>
    <row r="635" spans="1:10" ht="11.45" customHeight="1" x14ac:dyDescent="0.2">
      <c r="A635" s="237" t="s">
        <v>196</v>
      </c>
      <c r="B635" s="237"/>
      <c r="C635" s="233"/>
      <c r="D635" s="238"/>
      <c r="E635" s="242"/>
      <c r="F635" s="242"/>
      <c r="G635" s="242"/>
      <c r="H635" s="242"/>
      <c r="I635" s="242"/>
      <c r="J635" s="242"/>
    </row>
    <row r="636" spans="1:10" ht="12" customHeight="1" x14ac:dyDescent="0.2">
      <c r="A636" s="222"/>
      <c r="B636" s="222" t="s">
        <v>501</v>
      </c>
      <c r="C636" s="222"/>
      <c r="D636" s="222"/>
      <c r="E636" s="231">
        <f t="shared" ref="E636:J636" si="98">E97</f>
        <v>0</v>
      </c>
      <c r="F636" s="231">
        <f t="shared" si="98"/>
        <v>0</v>
      </c>
      <c r="G636" s="231">
        <f t="shared" si="98"/>
        <v>0</v>
      </c>
      <c r="H636" s="231">
        <f t="shared" si="98"/>
        <v>0</v>
      </c>
      <c r="I636" s="231">
        <f t="shared" si="98"/>
        <v>0</v>
      </c>
      <c r="J636" s="231">
        <f t="shared" si="98"/>
        <v>0</v>
      </c>
    </row>
    <row r="637" spans="1:10" ht="10.5" customHeight="1" x14ac:dyDescent="0.2">
      <c r="A637" s="222"/>
      <c r="B637" s="222" t="s">
        <v>1021</v>
      </c>
      <c r="C637" s="222"/>
      <c r="D637" s="222"/>
      <c r="E637" s="231">
        <f t="shared" ref="E637:J637" si="99">E182</f>
        <v>0</v>
      </c>
      <c r="F637" s="231">
        <f t="shared" si="99"/>
        <v>0</v>
      </c>
      <c r="G637" s="231">
        <f t="shared" si="99"/>
        <v>0</v>
      </c>
      <c r="H637" s="231">
        <f t="shared" si="99"/>
        <v>0</v>
      </c>
      <c r="I637" s="231">
        <f t="shared" si="99"/>
        <v>0</v>
      </c>
      <c r="J637" s="231">
        <f t="shared" si="99"/>
        <v>0</v>
      </c>
    </row>
    <row r="638" spans="1:10" ht="12" customHeight="1" x14ac:dyDescent="0.2">
      <c r="A638" s="222"/>
      <c r="B638" s="222" t="s">
        <v>1022</v>
      </c>
      <c r="C638" s="222"/>
      <c r="D638" s="222"/>
      <c r="E638" s="231">
        <f t="shared" ref="E638:J638" si="100">E265</f>
        <v>0</v>
      </c>
      <c r="F638" s="231">
        <f t="shared" si="100"/>
        <v>0</v>
      </c>
      <c r="G638" s="231">
        <f t="shared" si="100"/>
        <v>0</v>
      </c>
      <c r="H638" s="231">
        <f t="shared" si="100"/>
        <v>0</v>
      </c>
      <c r="I638" s="231">
        <f t="shared" si="100"/>
        <v>0</v>
      </c>
      <c r="J638" s="231">
        <f t="shared" si="100"/>
        <v>0</v>
      </c>
    </row>
    <row r="639" spans="1:10" ht="12" customHeight="1" x14ac:dyDescent="0.2">
      <c r="A639" s="222"/>
      <c r="B639" s="222" t="s">
        <v>1023</v>
      </c>
      <c r="C639" s="222"/>
      <c r="D639" s="222"/>
      <c r="E639" s="231">
        <f t="shared" ref="E639:J639" si="101">E347</f>
        <v>0</v>
      </c>
      <c r="F639" s="231">
        <f t="shared" si="101"/>
        <v>0</v>
      </c>
      <c r="G639" s="231">
        <f t="shared" si="101"/>
        <v>0</v>
      </c>
      <c r="H639" s="231">
        <f t="shared" si="101"/>
        <v>0</v>
      </c>
      <c r="I639" s="231">
        <f t="shared" si="101"/>
        <v>0</v>
      </c>
      <c r="J639" s="231">
        <f t="shared" si="101"/>
        <v>0</v>
      </c>
    </row>
    <row r="640" spans="1:10" ht="12" customHeight="1" x14ac:dyDescent="0.2">
      <c r="A640" s="222"/>
      <c r="B640" s="233" t="s">
        <v>1024</v>
      </c>
      <c r="C640" s="233"/>
      <c r="D640" s="233"/>
      <c r="E640" s="231">
        <f t="shared" ref="E640:J640" si="102">E430</f>
        <v>0</v>
      </c>
      <c r="F640" s="231">
        <f t="shared" si="102"/>
        <v>0</v>
      </c>
      <c r="G640" s="231">
        <f t="shared" si="102"/>
        <v>0</v>
      </c>
      <c r="H640" s="231">
        <f t="shared" si="102"/>
        <v>0</v>
      </c>
      <c r="I640" s="231">
        <f t="shared" si="102"/>
        <v>0</v>
      </c>
      <c r="J640" s="231">
        <f t="shared" si="102"/>
        <v>0</v>
      </c>
    </row>
    <row r="641" spans="1:10" ht="12" customHeight="1" x14ac:dyDescent="0.2">
      <c r="A641" s="222"/>
      <c r="B641" s="222" t="s">
        <v>1025</v>
      </c>
      <c r="C641" s="222"/>
      <c r="D641" s="222"/>
      <c r="E641" s="231">
        <f t="shared" ref="E641:J641" si="103">E516</f>
        <v>0</v>
      </c>
      <c r="F641" s="231">
        <f t="shared" si="103"/>
        <v>0</v>
      </c>
      <c r="G641" s="231">
        <f t="shared" si="103"/>
        <v>0</v>
      </c>
      <c r="H641" s="231">
        <f t="shared" si="103"/>
        <v>0</v>
      </c>
      <c r="I641" s="231">
        <f t="shared" si="103"/>
        <v>0</v>
      </c>
      <c r="J641" s="231">
        <f t="shared" si="103"/>
        <v>0</v>
      </c>
    </row>
    <row r="642" spans="1:10" ht="12" customHeight="1" x14ac:dyDescent="0.2">
      <c r="A642" s="222"/>
      <c r="B642" s="222" t="s">
        <v>1026</v>
      </c>
      <c r="C642" s="222"/>
      <c r="D642" s="222"/>
      <c r="E642" s="232">
        <f t="shared" ref="E642:J642" si="104">E573</f>
        <v>0</v>
      </c>
      <c r="F642" s="232">
        <f t="shared" si="104"/>
        <v>0</v>
      </c>
      <c r="G642" s="232">
        <f t="shared" si="104"/>
        <v>0</v>
      </c>
      <c r="H642" s="232">
        <f t="shared" si="104"/>
        <v>0</v>
      </c>
      <c r="I642" s="232">
        <f t="shared" si="104"/>
        <v>0</v>
      </c>
      <c r="J642" s="232">
        <f t="shared" si="104"/>
        <v>0</v>
      </c>
    </row>
    <row r="643" spans="1:10" ht="12" customHeight="1" thickBot="1" x14ac:dyDescent="0.25">
      <c r="A643" s="229"/>
      <c r="B643" s="229"/>
      <c r="C643" s="229" t="s">
        <v>386</v>
      </c>
      <c r="D643" s="239"/>
      <c r="E643" s="236">
        <f t="shared" ref="E643:J643" si="105">SUM(E636:E642)</f>
        <v>0</v>
      </c>
      <c r="F643" s="236">
        <f t="shared" si="105"/>
        <v>0</v>
      </c>
      <c r="G643" s="236">
        <f t="shared" si="105"/>
        <v>0</v>
      </c>
      <c r="H643" s="236">
        <f t="shared" si="105"/>
        <v>0</v>
      </c>
      <c r="I643" s="236">
        <f t="shared" si="105"/>
        <v>0</v>
      </c>
      <c r="J643" s="236">
        <f t="shared" si="105"/>
        <v>0</v>
      </c>
    </row>
    <row r="644" spans="1:10" ht="9.6" customHeight="1" x14ac:dyDescent="0.2">
      <c r="A644" s="229" t="s">
        <v>387</v>
      </c>
      <c r="B644" s="222"/>
      <c r="C644" s="222"/>
      <c r="D644" s="240"/>
      <c r="E644" s="241"/>
      <c r="F644" s="241"/>
      <c r="G644" s="241"/>
      <c r="H644" s="241"/>
      <c r="I644" s="241"/>
      <c r="J644" s="241"/>
    </row>
    <row r="645" spans="1:10" ht="12" customHeight="1" x14ac:dyDescent="0.2">
      <c r="A645" s="222"/>
      <c r="B645" s="222" t="s">
        <v>501</v>
      </c>
      <c r="C645" s="222"/>
      <c r="D645" s="222"/>
      <c r="E645" s="231">
        <f t="shared" ref="E645:J645" si="106">E98</f>
        <v>156198.35999999999</v>
      </c>
      <c r="F645" s="231">
        <f t="shared" si="106"/>
        <v>165400</v>
      </c>
      <c r="G645" s="231">
        <f t="shared" si="106"/>
        <v>160100</v>
      </c>
      <c r="H645" s="231">
        <f t="shared" si="106"/>
        <v>165400</v>
      </c>
      <c r="I645" s="231">
        <f t="shared" si="106"/>
        <v>165400</v>
      </c>
      <c r="J645" s="231">
        <f t="shared" si="106"/>
        <v>165400</v>
      </c>
    </row>
    <row r="646" spans="1:10" ht="12" customHeight="1" x14ac:dyDescent="0.2">
      <c r="A646" s="222"/>
      <c r="B646" s="222" t="s">
        <v>1021</v>
      </c>
      <c r="C646" s="222"/>
      <c r="D646" s="222"/>
      <c r="E646" s="231">
        <f t="shared" ref="E646:J646" si="107">E183</f>
        <v>46777.83</v>
      </c>
      <c r="F646" s="231">
        <f t="shared" si="107"/>
        <v>87400</v>
      </c>
      <c r="G646" s="231">
        <f t="shared" si="107"/>
        <v>68800</v>
      </c>
      <c r="H646" s="231">
        <f t="shared" si="107"/>
        <v>95400</v>
      </c>
      <c r="I646" s="231">
        <f t="shared" si="107"/>
        <v>95400</v>
      </c>
      <c r="J646" s="231">
        <f t="shared" si="107"/>
        <v>95400</v>
      </c>
    </row>
    <row r="647" spans="1:10" ht="12" customHeight="1" x14ac:dyDescent="0.2">
      <c r="A647" s="222"/>
      <c r="B647" s="222" t="s">
        <v>1022</v>
      </c>
      <c r="C647" s="222"/>
      <c r="D647" s="222"/>
      <c r="E647" s="231">
        <f t="shared" ref="E647:J647" si="108">E266</f>
        <v>45489</v>
      </c>
      <c r="F647" s="231">
        <f t="shared" si="108"/>
        <v>42800</v>
      </c>
      <c r="G647" s="231">
        <f t="shared" si="108"/>
        <v>52000</v>
      </c>
      <c r="H647" s="231">
        <f t="shared" si="108"/>
        <v>42800</v>
      </c>
      <c r="I647" s="231">
        <f t="shared" si="108"/>
        <v>42800</v>
      </c>
      <c r="J647" s="231">
        <f t="shared" si="108"/>
        <v>42800</v>
      </c>
    </row>
    <row r="648" spans="1:10" ht="12" customHeight="1" x14ac:dyDescent="0.2">
      <c r="A648" s="222"/>
      <c r="B648" s="222" t="s">
        <v>1023</v>
      </c>
      <c r="C648" s="222"/>
      <c r="D648" s="222"/>
      <c r="E648" s="231">
        <f t="shared" ref="E648:J648" si="109">E348</f>
        <v>43419.59</v>
      </c>
      <c r="F648" s="231">
        <f t="shared" si="109"/>
        <v>59600</v>
      </c>
      <c r="G648" s="231">
        <f t="shared" si="109"/>
        <v>59800</v>
      </c>
      <c r="H648" s="231">
        <f t="shared" si="109"/>
        <v>59600</v>
      </c>
      <c r="I648" s="231">
        <f t="shared" si="109"/>
        <v>59600</v>
      </c>
      <c r="J648" s="231">
        <f t="shared" si="109"/>
        <v>59600</v>
      </c>
    </row>
    <row r="649" spans="1:10" ht="12" customHeight="1" x14ac:dyDescent="0.2">
      <c r="A649" s="222"/>
      <c r="B649" s="233" t="s">
        <v>1024</v>
      </c>
      <c r="C649" s="233"/>
      <c r="D649" s="233"/>
      <c r="E649" s="231">
        <f t="shared" ref="E649:J649" si="110">E431</f>
        <v>333562.03000000003</v>
      </c>
      <c r="F649" s="231">
        <f t="shared" si="110"/>
        <v>365700</v>
      </c>
      <c r="G649" s="231">
        <f t="shared" si="110"/>
        <v>365200</v>
      </c>
      <c r="H649" s="231">
        <f t="shared" si="110"/>
        <v>388200</v>
      </c>
      <c r="I649" s="231">
        <f t="shared" si="110"/>
        <v>375600</v>
      </c>
      <c r="J649" s="231">
        <f t="shared" si="110"/>
        <v>375600</v>
      </c>
    </row>
    <row r="650" spans="1:10" ht="12" customHeight="1" x14ac:dyDescent="0.2">
      <c r="A650" s="222"/>
      <c r="B650" s="222" t="s">
        <v>1025</v>
      </c>
      <c r="C650" s="222"/>
      <c r="D650" s="222"/>
      <c r="E650" s="231">
        <f t="shared" ref="E650:J650" si="111">E517</f>
        <v>30478.34</v>
      </c>
      <c r="F650" s="231">
        <f t="shared" si="111"/>
        <v>43500</v>
      </c>
      <c r="G650" s="231">
        <f t="shared" si="111"/>
        <v>31800</v>
      </c>
      <c r="H650" s="231">
        <f t="shared" si="111"/>
        <v>36600</v>
      </c>
      <c r="I650" s="231">
        <f t="shared" si="111"/>
        <v>36600</v>
      </c>
      <c r="J650" s="231">
        <f t="shared" si="111"/>
        <v>36600</v>
      </c>
    </row>
    <row r="651" spans="1:10" ht="12" customHeight="1" x14ac:dyDescent="0.2">
      <c r="A651" s="222"/>
      <c r="B651" s="222" t="s">
        <v>1026</v>
      </c>
      <c r="C651" s="222"/>
      <c r="D651" s="222"/>
      <c r="E651" s="232">
        <f t="shared" ref="E651:J651" si="112">E574</f>
        <v>33120</v>
      </c>
      <c r="F651" s="232">
        <f t="shared" si="112"/>
        <v>33200</v>
      </c>
      <c r="G651" s="232">
        <f t="shared" si="112"/>
        <v>33200</v>
      </c>
      <c r="H651" s="232">
        <f t="shared" si="112"/>
        <v>33200</v>
      </c>
      <c r="I651" s="232">
        <f t="shared" si="112"/>
        <v>33200</v>
      </c>
      <c r="J651" s="232">
        <f t="shared" si="112"/>
        <v>33200</v>
      </c>
    </row>
    <row r="652" spans="1:10" ht="10.15" customHeight="1" thickBot="1" x14ac:dyDescent="0.25">
      <c r="A652" s="222"/>
      <c r="B652" s="222"/>
      <c r="C652" s="229" t="s">
        <v>388</v>
      </c>
      <c r="D652" s="240"/>
      <c r="E652" s="236">
        <f t="shared" ref="E652:J652" si="113">SUM(E645:E651)</f>
        <v>689045.15</v>
      </c>
      <c r="F652" s="236">
        <f t="shared" si="113"/>
        <v>797600</v>
      </c>
      <c r="G652" s="236">
        <f t="shared" si="113"/>
        <v>770900</v>
      </c>
      <c r="H652" s="236">
        <f t="shared" si="113"/>
        <v>821200</v>
      </c>
      <c r="I652" s="236">
        <f t="shared" si="113"/>
        <v>808600</v>
      </c>
      <c r="J652" s="236">
        <f t="shared" si="113"/>
        <v>808600</v>
      </c>
    </row>
    <row r="653" spans="1:10" ht="10.9" customHeight="1" x14ac:dyDescent="0.2">
      <c r="A653" s="229" t="s">
        <v>198</v>
      </c>
      <c r="B653" s="229"/>
      <c r="C653" s="222"/>
      <c r="D653" s="240"/>
      <c r="E653" s="242"/>
      <c r="F653" s="242"/>
      <c r="G653" s="242"/>
      <c r="H653" s="242"/>
      <c r="I653" s="242"/>
      <c r="J653" s="242"/>
    </row>
    <row r="654" spans="1:10" ht="12" customHeight="1" x14ac:dyDescent="0.2">
      <c r="A654" s="222"/>
      <c r="B654" s="222" t="s">
        <v>501</v>
      </c>
      <c r="C654" s="222"/>
      <c r="D654" s="222"/>
      <c r="E654" s="231">
        <f t="shared" ref="E654:J654" si="114">E99</f>
        <v>0</v>
      </c>
      <c r="F654" s="231">
        <f t="shared" si="114"/>
        <v>59500</v>
      </c>
      <c r="G654" s="231">
        <f t="shared" si="114"/>
        <v>59500</v>
      </c>
      <c r="H654" s="231">
        <f t="shared" si="114"/>
        <v>0</v>
      </c>
      <c r="I654" s="231">
        <f t="shared" si="114"/>
        <v>0</v>
      </c>
      <c r="J654" s="231">
        <f t="shared" si="114"/>
        <v>0</v>
      </c>
    </row>
    <row r="655" spans="1:10" ht="9.75" customHeight="1" x14ac:dyDescent="0.2">
      <c r="A655" s="222"/>
      <c r="B655" s="222" t="s">
        <v>1021</v>
      </c>
      <c r="C655" s="222"/>
      <c r="D655" s="222"/>
      <c r="E655" s="231">
        <f t="shared" ref="E655:J655" si="115">E184</f>
        <v>0</v>
      </c>
      <c r="F655" s="231">
        <f t="shared" si="115"/>
        <v>0</v>
      </c>
      <c r="G655" s="231">
        <f t="shared" si="115"/>
        <v>0</v>
      </c>
      <c r="H655" s="231">
        <f t="shared" si="115"/>
        <v>0</v>
      </c>
      <c r="I655" s="231">
        <f t="shared" si="115"/>
        <v>0</v>
      </c>
      <c r="J655" s="231">
        <f t="shared" si="115"/>
        <v>0</v>
      </c>
    </row>
    <row r="656" spans="1:10" ht="12" customHeight="1" x14ac:dyDescent="0.2">
      <c r="A656" s="222"/>
      <c r="B656" s="222" t="s">
        <v>1022</v>
      </c>
      <c r="C656" s="222"/>
      <c r="D656" s="222"/>
      <c r="E656" s="231">
        <f t="shared" ref="E656:J656" si="116">E267</f>
        <v>0</v>
      </c>
      <c r="F656" s="231">
        <f t="shared" si="116"/>
        <v>0</v>
      </c>
      <c r="G656" s="231">
        <f t="shared" si="116"/>
        <v>0</v>
      </c>
      <c r="H656" s="231">
        <f t="shared" si="116"/>
        <v>0</v>
      </c>
      <c r="I656" s="231">
        <f t="shared" si="116"/>
        <v>0</v>
      </c>
      <c r="J656" s="231">
        <f t="shared" si="116"/>
        <v>0</v>
      </c>
    </row>
    <row r="657" spans="1:10" ht="12" customHeight="1" x14ac:dyDescent="0.2">
      <c r="A657" s="222"/>
      <c r="B657" s="222" t="s">
        <v>1023</v>
      </c>
      <c r="C657" s="222"/>
      <c r="D657" s="222"/>
      <c r="E657" s="231">
        <f t="shared" ref="E657:J657" si="117">E349</f>
        <v>0</v>
      </c>
      <c r="F657" s="231">
        <f t="shared" si="117"/>
        <v>0</v>
      </c>
      <c r="G657" s="231">
        <f t="shared" si="117"/>
        <v>0</v>
      </c>
      <c r="H657" s="231">
        <f t="shared" si="117"/>
        <v>0</v>
      </c>
      <c r="I657" s="231">
        <f t="shared" si="117"/>
        <v>0</v>
      </c>
      <c r="J657" s="231">
        <f t="shared" si="117"/>
        <v>0</v>
      </c>
    </row>
    <row r="658" spans="1:10" ht="12" customHeight="1" x14ac:dyDescent="0.2">
      <c r="A658" s="222"/>
      <c r="B658" s="233" t="s">
        <v>1024</v>
      </c>
      <c r="C658" s="233"/>
      <c r="D658" s="233"/>
      <c r="E658" s="231">
        <f t="shared" ref="E658:J658" si="118">E432</f>
        <v>4368</v>
      </c>
      <c r="F658" s="231">
        <f t="shared" si="118"/>
        <v>9400</v>
      </c>
      <c r="G658" s="231">
        <f t="shared" si="118"/>
        <v>9400</v>
      </c>
      <c r="H658" s="231">
        <f t="shared" si="118"/>
        <v>0</v>
      </c>
      <c r="I658" s="231">
        <f t="shared" si="118"/>
        <v>9400</v>
      </c>
      <c r="J658" s="231">
        <f t="shared" si="118"/>
        <v>0</v>
      </c>
    </row>
    <row r="659" spans="1:10" ht="12" customHeight="1" x14ac:dyDescent="0.2">
      <c r="A659" s="222"/>
      <c r="B659" s="222" t="s">
        <v>1025</v>
      </c>
      <c r="C659" s="222"/>
      <c r="D659" s="222"/>
      <c r="E659" s="231">
        <f t="shared" ref="E659:J659" si="119">E518</f>
        <v>0</v>
      </c>
      <c r="F659" s="231">
        <f t="shared" si="119"/>
        <v>2300</v>
      </c>
      <c r="G659" s="231">
        <f t="shared" si="119"/>
        <v>2300</v>
      </c>
      <c r="H659" s="231">
        <f t="shared" si="119"/>
        <v>0</v>
      </c>
      <c r="I659" s="231">
        <f t="shared" si="119"/>
        <v>0</v>
      </c>
      <c r="J659" s="231">
        <f t="shared" si="119"/>
        <v>0</v>
      </c>
    </row>
    <row r="660" spans="1:10" ht="12" customHeight="1" x14ac:dyDescent="0.2">
      <c r="A660" s="222"/>
      <c r="B660" s="222" t="s">
        <v>1026</v>
      </c>
      <c r="C660" s="222"/>
      <c r="D660" s="222"/>
      <c r="E660" s="232">
        <f t="shared" ref="E660:J660" si="120">E575</f>
        <v>0</v>
      </c>
      <c r="F660" s="232">
        <f t="shared" si="120"/>
        <v>0</v>
      </c>
      <c r="G660" s="232">
        <f t="shared" si="120"/>
        <v>0</v>
      </c>
      <c r="H660" s="232">
        <f t="shared" si="120"/>
        <v>0</v>
      </c>
      <c r="I660" s="232">
        <f t="shared" si="120"/>
        <v>0</v>
      </c>
      <c r="J660" s="232">
        <f t="shared" si="120"/>
        <v>0</v>
      </c>
    </row>
    <row r="661" spans="1:10" ht="11.45" customHeight="1" thickBot="1" x14ac:dyDescent="0.25">
      <c r="A661" s="222"/>
      <c r="B661" s="222"/>
      <c r="C661" s="229" t="s">
        <v>389</v>
      </c>
      <c r="D661" s="240"/>
      <c r="E661" s="236">
        <f t="shared" ref="E661:J661" si="121">SUM(E654:E660)</f>
        <v>4368</v>
      </c>
      <c r="F661" s="236">
        <f t="shared" si="121"/>
        <v>71200</v>
      </c>
      <c r="G661" s="236">
        <f t="shared" si="121"/>
        <v>71200</v>
      </c>
      <c r="H661" s="236">
        <f t="shared" si="121"/>
        <v>0</v>
      </c>
      <c r="I661" s="236">
        <f t="shared" si="121"/>
        <v>9400</v>
      </c>
      <c r="J661" s="236">
        <f t="shared" si="121"/>
        <v>0</v>
      </c>
    </row>
    <row r="662" spans="1:10" ht="12" customHeight="1" x14ac:dyDescent="0.2">
      <c r="A662" s="243" t="s">
        <v>296</v>
      </c>
      <c r="B662" s="229"/>
      <c r="C662" s="222"/>
      <c r="D662" s="240"/>
      <c r="E662" s="242"/>
      <c r="F662" s="242"/>
      <c r="G662" s="242"/>
      <c r="H662" s="242"/>
      <c r="I662" s="242"/>
      <c r="J662" s="242"/>
    </row>
    <row r="663" spans="1:10" ht="12" customHeight="1" x14ac:dyDescent="0.2">
      <c r="A663" s="233"/>
      <c r="B663" s="222" t="s">
        <v>501</v>
      </c>
      <c r="C663" s="222"/>
      <c r="D663" s="222"/>
      <c r="E663" s="231">
        <f t="shared" ref="E663:J663" si="122">E115</f>
        <v>6845160.5500000007</v>
      </c>
      <c r="F663" s="231">
        <f t="shared" si="122"/>
        <v>1341500</v>
      </c>
      <c r="G663" s="231">
        <f t="shared" si="122"/>
        <v>1302600</v>
      </c>
      <c r="H663" s="231">
        <f t="shared" si="122"/>
        <v>1942800</v>
      </c>
      <c r="I663" s="231">
        <f t="shared" si="122"/>
        <v>1605400</v>
      </c>
      <c r="J663" s="231">
        <f t="shared" si="122"/>
        <v>1605400</v>
      </c>
    </row>
    <row r="664" spans="1:10" ht="12" customHeight="1" x14ac:dyDescent="0.2">
      <c r="A664" s="233"/>
      <c r="B664" s="222" t="s">
        <v>1021</v>
      </c>
      <c r="C664" s="222"/>
      <c r="D664" s="222"/>
      <c r="E664" s="231">
        <f t="shared" ref="E664:J664" si="123">E194</f>
        <v>3434556.6799999997</v>
      </c>
      <c r="F664" s="231">
        <f t="shared" si="123"/>
        <v>5080000</v>
      </c>
      <c r="G664" s="231">
        <f t="shared" si="123"/>
        <v>3061300</v>
      </c>
      <c r="H664" s="231">
        <f t="shared" si="123"/>
        <v>2951700</v>
      </c>
      <c r="I664" s="231">
        <f t="shared" si="123"/>
        <v>3151700</v>
      </c>
      <c r="J664" s="231">
        <f t="shared" si="123"/>
        <v>3151700</v>
      </c>
    </row>
    <row r="665" spans="1:10" ht="12" customHeight="1" x14ac:dyDescent="0.2">
      <c r="A665" s="233"/>
      <c r="B665" s="222" t="s">
        <v>1022</v>
      </c>
      <c r="C665" s="222"/>
      <c r="D665" s="222"/>
      <c r="E665" s="231">
        <f t="shared" ref="E665:J665" si="124">E280</f>
        <v>110286.77</v>
      </c>
      <c r="F665" s="231">
        <f t="shared" si="124"/>
        <v>345200</v>
      </c>
      <c r="G665" s="231">
        <f t="shared" si="124"/>
        <v>199300</v>
      </c>
      <c r="H665" s="231">
        <f t="shared" si="124"/>
        <v>366500</v>
      </c>
      <c r="I665" s="231">
        <f t="shared" si="124"/>
        <v>366500</v>
      </c>
      <c r="J665" s="231">
        <f t="shared" si="124"/>
        <v>366500</v>
      </c>
    </row>
    <row r="666" spans="1:10" ht="12" customHeight="1" x14ac:dyDescent="0.2">
      <c r="A666" s="233"/>
      <c r="B666" s="222" t="s">
        <v>1023</v>
      </c>
      <c r="C666" s="222"/>
      <c r="D666" s="222"/>
      <c r="E666" s="231">
        <f t="shared" ref="E666:J666" si="125">E363</f>
        <v>382236.62</v>
      </c>
      <c r="F666" s="231">
        <f t="shared" si="125"/>
        <v>385400</v>
      </c>
      <c r="G666" s="231">
        <f t="shared" si="125"/>
        <v>370200</v>
      </c>
      <c r="H666" s="231">
        <f t="shared" si="125"/>
        <v>390100</v>
      </c>
      <c r="I666" s="231">
        <f t="shared" si="125"/>
        <v>390100</v>
      </c>
      <c r="J666" s="231">
        <f t="shared" si="125"/>
        <v>390100</v>
      </c>
    </row>
    <row r="667" spans="1:10" ht="12" customHeight="1" x14ac:dyDescent="0.2">
      <c r="A667" s="222"/>
      <c r="B667" s="233" t="s">
        <v>1024</v>
      </c>
      <c r="C667" s="233"/>
      <c r="D667" s="233"/>
      <c r="E667" s="231">
        <f t="shared" ref="E667:J667" si="126">E445</f>
        <v>1585613.66</v>
      </c>
      <c r="F667" s="231">
        <f t="shared" si="126"/>
        <v>1748500</v>
      </c>
      <c r="G667" s="231">
        <f t="shared" si="126"/>
        <v>1751200</v>
      </c>
      <c r="H667" s="231">
        <f t="shared" si="126"/>
        <v>1748500</v>
      </c>
      <c r="I667" s="231">
        <f t="shared" si="126"/>
        <v>1748500</v>
      </c>
      <c r="J667" s="231">
        <f t="shared" si="126"/>
        <v>1748500</v>
      </c>
    </row>
    <row r="668" spans="1:10" ht="12" customHeight="1" x14ac:dyDescent="0.2">
      <c r="A668" s="233"/>
      <c r="B668" s="222" t="s">
        <v>1025</v>
      </c>
      <c r="C668" s="222"/>
      <c r="D668" s="222"/>
      <c r="E668" s="231">
        <f t="shared" ref="E668:J668" si="127">E529</f>
        <v>114973.63</v>
      </c>
      <c r="F668" s="231">
        <f t="shared" si="127"/>
        <v>125200</v>
      </c>
      <c r="G668" s="231">
        <f t="shared" si="127"/>
        <v>125200</v>
      </c>
      <c r="H668" s="231">
        <f t="shared" si="127"/>
        <v>125200</v>
      </c>
      <c r="I668" s="231">
        <f t="shared" si="127"/>
        <v>125200</v>
      </c>
      <c r="J668" s="231">
        <f t="shared" si="127"/>
        <v>125200</v>
      </c>
    </row>
    <row r="669" spans="1:10" ht="12" customHeight="1" x14ac:dyDescent="0.2">
      <c r="A669" s="233"/>
      <c r="B669" s="222" t="s">
        <v>1026</v>
      </c>
      <c r="C669" s="222"/>
      <c r="D669" s="222"/>
      <c r="E669" s="232">
        <f t="shared" ref="E669:J669" si="128">E588</f>
        <v>49042.06</v>
      </c>
      <c r="F669" s="232">
        <f t="shared" si="128"/>
        <v>79900</v>
      </c>
      <c r="G669" s="232">
        <f t="shared" si="128"/>
        <v>62800</v>
      </c>
      <c r="H669" s="232">
        <f t="shared" si="128"/>
        <v>71500</v>
      </c>
      <c r="I669" s="232">
        <f t="shared" si="128"/>
        <v>71500</v>
      </c>
      <c r="J669" s="232">
        <f t="shared" si="128"/>
        <v>91900</v>
      </c>
    </row>
    <row r="670" spans="1:10" ht="11.45" customHeight="1" thickBot="1" x14ac:dyDescent="0.25">
      <c r="A670" s="222"/>
      <c r="B670" s="222"/>
      <c r="C670" s="229" t="s">
        <v>390</v>
      </c>
      <c r="D670" s="235"/>
      <c r="E670" s="236">
        <f t="shared" ref="E670:J670" si="129">SUM(E663:E669)</f>
        <v>12521869.970000001</v>
      </c>
      <c r="F670" s="236">
        <f t="shared" si="129"/>
        <v>9105700</v>
      </c>
      <c r="G670" s="236">
        <f t="shared" si="129"/>
        <v>6872600</v>
      </c>
      <c r="H670" s="236">
        <f t="shared" si="129"/>
        <v>7596300</v>
      </c>
      <c r="I670" s="236">
        <f t="shared" si="129"/>
        <v>7458900</v>
      </c>
      <c r="J670" s="236">
        <f t="shared" si="129"/>
        <v>7479300</v>
      </c>
    </row>
    <row r="671" spans="1:10" ht="10.15" customHeight="1" x14ac:dyDescent="0.2">
      <c r="A671" s="244" t="s">
        <v>15</v>
      </c>
      <c r="B671" s="222"/>
      <c r="C671" s="222"/>
      <c r="D671" s="240"/>
      <c r="E671" s="242"/>
      <c r="F671" s="242"/>
      <c r="G671" s="242"/>
      <c r="H671" s="242"/>
      <c r="I671" s="242"/>
      <c r="J671" s="242"/>
    </row>
    <row r="672" spans="1:10" ht="12" customHeight="1" x14ac:dyDescent="0.2">
      <c r="A672" s="233"/>
      <c r="B672" s="222" t="s">
        <v>501</v>
      </c>
      <c r="C672" s="222"/>
      <c r="D672" s="222"/>
      <c r="E672" s="231">
        <f t="shared" ref="E672:J672" si="130">E122</f>
        <v>0</v>
      </c>
      <c r="F672" s="231">
        <f t="shared" si="130"/>
        <v>0</v>
      </c>
      <c r="G672" s="231">
        <f t="shared" si="130"/>
        <v>0</v>
      </c>
      <c r="H672" s="231">
        <f t="shared" si="130"/>
        <v>0</v>
      </c>
      <c r="I672" s="231">
        <f t="shared" si="130"/>
        <v>0</v>
      </c>
      <c r="J672" s="231">
        <f t="shared" si="130"/>
        <v>0</v>
      </c>
    </row>
    <row r="673" spans="1:10" x14ac:dyDescent="0.2">
      <c r="A673" s="233"/>
      <c r="B673" s="222" t="s">
        <v>1021</v>
      </c>
      <c r="C673" s="222"/>
      <c r="D673" s="222"/>
      <c r="E673" s="231">
        <f t="shared" ref="E673:J673" si="131">E221</f>
        <v>21481762.489999998</v>
      </c>
      <c r="F673" s="231">
        <f t="shared" si="131"/>
        <v>25509200</v>
      </c>
      <c r="G673" s="231">
        <f t="shared" si="131"/>
        <v>26205500</v>
      </c>
      <c r="H673" s="231">
        <f t="shared" si="131"/>
        <v>15034800</v>
      </c>
      <c r="I673" s="231">
        <f t="shared" si="131"/>
        <v>849500</v>
      </c>
      <c r="J673" s="231">
        <f t="shared" si="131"/>
        <v>0</v>
      </c>
    </row>
    <row r="674" spans="1:10" x14ac:dyDescent="0.2">
      <c r="A674" s="233"/>
      <c r="B674" s="222" t="s">
        <v>1022</v>
      </c>
      <c r="C674" s="222"/>
      <c r="D674" s="222"/>
      <c r="E674" s="231">
        <f t="shared" ref="E674:J674" si="132">E287</f>
        <v>0</v>
      </c>
      <c r="F674" s="231">
        <f t="shared" si="132"/>
        <v>0</v>
      </c>
      <c r="G674" s="231">
        <f t="shared" si="132"/>
        <v>0</v>
      </c>
      <c r="H674" s="231">
        <f t="shared" si="132"/>
        <v>0</v>
      </c>
      <c r="I674" s="231">
        <f t="shared" si="132"/>
        <v>0</v>
      </c>
      <c r="J674" s="231">
        <f t="shared" si="132"/>
        <v>0</v>
      </c>
    </row>
    <row r="675" spans="1:10" x14ac:dyDescent="0.2">
      <c r="A675" s="233"/>
      <c r="B675" s="222" t="s">
        <v>1023</v>
      </c>
      <c r="C675" s="222"/>
      <c r="D675" s="222"/>
      <c r="E675" s="231">
        <f t="shared" ref="E675:J675" si="133">E370</f>
        <v>0</v>
      </c>
      <c r="F675" s="231">
        <f t="shared" si="133"/>
        <v>0</v>
      </c>
      <c r="G675" s="231">
        <f t="shared" si="133"/>
        <v>0</v>
      </c>
      <c r="H675" s="231">
        <f t="shared" si="133"/>
        <v>0</v>
      </c>
      <c r="I675" s="231">
        <f t="shared" si="133"/>
        <v>0</v>
      </c>
      <c r="J675" s="231">
        <f t="shared" si="133"/>
        <v>0</v>
      </c>
    </row>
    <row r="676" spans="1:10" x14ac:dyDescent="0.2">
      <c r="A676" s="233"/>
      <c r="B676" s="233" t="s">
        <v>1024</v>
      </c>
      <c r="C676" s="233"/>
      <c r="D676" s="233"/>
      <c r="E676" s="231">
        <f t="shared" ref="E676:J676" si="134">E452</f>
        <v>0</v>
      </c>
      <c r="F676" s="231">
        <f t="shared" si="134"/>
        <v>0</v>
      </c>
      <c r="G676" s="231">
        <f t="shared" si="134"/>
        <v>0</v>
      </c>
      <c r="H676" s="231">
        <f t="shared" si="134"/>
        <v>0</v>
      </c>
      <c r="I676" s="231">
        <f t="shared" si="134"/>
        <v>0</v>
      </c>
      <c r="J676" s="231">
        <f t="shared" si="134"/>
        <v>0</v>
      </c>
    </row>
    <row r="677" spans="1:10" x14ac:dyDescent="0.2">
      <c r="A677" s="233"/>
      <c r="B677" s="222" t="s">
        <v>1025</v>
      </c>
      <c r="C677" s="222"/>
      <c r="D677" s="222"/>
      <c r="E677" s="231">
        <f t="shared" ref="E677:J677" si="135">E536</f>
        <v>0</v>
      </c>
      <c r="F677" s="231">
        <f t="shared" si="135"/>
        <v>0</v>
      </c>
      <c r="G677" s="231">
        <f t="shared" si="135"/>
        <v>0</v>
      </c>
      <c r="H677" s="231">
        <f t="shared" si="135"/>
        <v>0</v>
      </c>
      <c r="I677" s="231">
        <f t="shared" si="135"/>
        <v>0</v>
      </c>
      <c r="J677" s="231">
        <f t="shared" si="135"/>
        <v>0</v>
      </c>
    </row>
    <row r="678" spans="1:10" x14ac:dyDescent="0.2">
      <c r="A678" s="233"/>
      <c r="B678" s="222" t="s">
        <v>1026</v>
      </c>
      <c r="C678" s="222"/>
      <c r="D678" s="222"/>
      <c r="E678" s="232">
        <f t="shared" ref="E678:J678" si="136">E595</f>
        <v>0</v>
      </c>
      <c r="F678" s="232">
        <f t="shared" si="136"/>
        <v>0</v>
      </c>
      <c r="G678" s="232">
        <f t="shared" si="136"/>
        <v>0</v>
      </c>
      <c r="H678" s="232">
        <f t="shared" si="136"/>
        <v>0</v>
      </c>
      <c r="I678" s="232">
        <f t="shared" si="136"/>
        <v>0</v>
      </c>
      <c r="J678" s="232">
        <f t="shared" si="136"/>
        <v>0</v>
      </c>
    </row>
    <row r="679" spans="1:10" ht="11.45" customHeight="1" thickBot="1" x14ac:dyDescent="0.25">
      <c r="A679" s="243"/>
      <c r="B679" s="243" t="s">
        <v>69</v>
      </c>
      <c r="C679" s="240"/>
      <c r="D679" s="222"/>
      <c r="E679" s="236">
        <f t="shared" ref="E679:J679" si="137">SUM(E672:E678)</f>
        <v>21481762.489999998</v>
      </c>
      <c r="F679" s="236">
        <f t="shared" si="137"/>
        <v>25509200</v>
      </c>
      <c r="G679" s="236">
        <f t="shared" si="137"/>
        <v>26205500</v>
      </c>
      <c r="H679" s="236">
        <f t="shared" si="137"/>
        <v>15034800</v>
      </c>
      <c r="I679" s="236">
        <f t="shared" si="137"/>
        <v>849500</v>
      </c>
      <c r="J679" s="236">
        <f t="shared" si="137"/>
        <v>0</v>
      </c>
    </row>
    <row r="680" spans="1:10" x14ac:dyDescent="0.2">
      <c r="A680" s="222"/>
      <c r="B680" s="222"/>
      <c r="C680" s="222"/>
      <c r="D680" s="222"/>
      <c r="E680" s="242"/>
      <c r="F680" s="242"/>
      <c r="G680" s="242"/>
      <c r="H680" s="227"/>
      <c r="I680" s="227"/>
      <c r="J680" s="227"/>
    </row>
    <row r="681" spans="1:10" ht="15" thickBot="1" x14ac:dyDescent="0.25">
      <c r="A681" s="222"/>
      <c r="B681" s="222"/>
      <c r="C681" s="222"/>
      <c r="D681" s="222"/>
      <c r="E681" s="240"/>
      <c r="F681" s="276" t="s">
        <v>391</v>
      </c>
      <c r="G681" s="240"/>
      <c r="H681" s="240"/>
      <c r="I681" s="245"/>
      <c r="J681" s="245"/>
    </row>
    <row r="682" spans="1:10" ht="8.25" customHeight="1" thickTop="1" x14ac:dyDescent="0.2">
      <c r="A682" s="246"/>
      <c r="B682" s="246"/>
      <c r="C682" s="246"/>
      <c r="D682" s="246"/>
      <c r="E682" s="246"/>
      <c r="F682" s="277"/>
      <c r="G682" s="246"/>
      <c r="H682" s="246"/>
      <c r="I682" s="246"/>
      <c r="J682" s="246"/>
    </row>
    <row r="683" spans="1:10" x14ac:dyDescent="0.2">
      <c r="A683" s="247"/>
      <c r="B683" s="247">
        <v>210</v>
      </c>
      <c r="C683" s="222" t="s">
        <v>7</v>
      </c>
      <c r="D683" s="222"/>
      <c r="E683" s="231">
        <f t="shared" ref="E683:J698" si="138">SUMIF($A$55:$A$1027,$B683,E$55:E$1027)</f>
        <v>3692814.7199999997</v>
      </c>
      <c r="F683" s="231">
        <f t="shared" si="138"/>
        <v>4243800</v>
      </c>
      <c r="G683" s="231">
        <f t="shared" si="138"/>
        <v>3963500</v>
      </c>
      <c r="H683" s="231">
        <f t="shared" si="138"/>
        <v>4244300</v>
      </c>
      <c r="I683" s="231">
        <f t="shared" si="138"/>
        <v>4553000</v>
      </c>
      <c r="J683" s="231">
        <f t="shared" si="138"/>
        <v>4622500</v>
      </c>
    </row>
    <row r="684" spans="1:10" x14ac:dyDescent="0.2">
      <c r="A684" s="247"/>
      <c r="B684" s="247">
        <v>211</v>
      </c>
      <c r="C684" s="235" t="s">
        <v>8</v>
      </c>
      <c r="D684" s="222"/>
      <c r="E684" s="231">
        <f t="shared" si="138"/>
        <v>0</v>
      </c>
      <c r="F684" s="231">
        <f t="shared" si="138"/>
        <v>0</v>
      </c>
      <c r="G684" s="231">
        <f t="shared" si="138"/>
        <v>0</v>
      </c>
      <c r="H684" s="231">
        <f t="shared" si="138"/>
        <v>0</v>
      </c>
      <c r="I684" s="231">
        <f t="shared" si="138"/>
        <v>0</v>
      </c>
      <c r="J684" s="231">
        <f t="shared" si="138"/>
        <v>0</v>
      </c>
    </row>
    <row r="685" spans="1:10" x14ac:dyDescent="0.2">
      <c r="A685" s="247"/>
      <c r="B685" s="247">
        <v>212</v>
      </c>
      <c r="C685" s="222" t="s">
        <v>9</v>
      </c>
      <c r="D685" s="222"/>
      <c r="E685" s="231">
        <f t="shared" si="138"/>
        <v>0</v>
      </c>
      <c r="F685" s="231">
        <f t="shared" si="138"/>
        <v>0</v>
      </c>
      <c r="G685" s="231">
        <f t="shared" si="138"/>
        <v>0</v>
      </c>
      <c r="H685" s="231">
        <f t="shared" si="138"/>
        <v>0</v>
      </c>
      <c r="I685" s="231">
        <f t="shared" si="138"/>
        <v>0</v>
      </c>
      <c r="J685" s="231">
        <f t="shared" si="138"/>
        <v>0</v>
      </c>
    </row>
    <row r="686" spans="1:10" x14ac:dyDescent="0.2">
      <c r="A686" s="247"/>
      <c r="B686" s="247">
        <v>213</v>
      </c>
      <c r="C686" s="222" t="s">
        <v>201</v>
      </c>
      <c r="D686" s="222"/>
      <c r="E686" s="231">
        <f t="shared" si="138"/>
        <v>0</v>
      </c>
      <c r="F686" s="231">
        <f t="shared" si="138"/>
        <v>0</v>
      </c>
      <c r="G686" s="231">
        <f t="shared" si="138"/>
        <v>0</v>
      </c>
      <c r="H686" s="231">
        <f t="shared" si="138"/>
        <v>0</v>
      </c>
      <c r="I686" s="231">
        <f t="shared" si="138"/>
        <v>0</v>
      </c>
      <c r="J686" s="231">
        <f t="shared" si="138"/>
        <v>0</v>
      </c>
    </row>
    <row r="687" spans="1:10" x14ac:dyDescent="0.2">
      <c r="A687" s="247"/>
      <c r="B687" s="247">
        <v>216</v>
      </c>
      <c r="C687" s="222" t="s">
        <v>10</v>
      </c>
      <c r="D687" s="222"/>
      <c r="E687" s="231">
        <f t="shared" si="138"/>
        <v>689045.15</v>
      </c>
      <c r="F687" s="231">
        <f t="shared" si="138"/>
        <v>797600</v>
      </c>
      <c r="G687" s="231">
        <f t="shared" si="138"/>
        <v>770900</v>
      </c>
      <c r="H687" s="231">
        <f t="shared" si="138"/>
        <v>821200</v>
      </c>
      <c r="I687" s="231">
        <f t="shared" si="138"/>
        <v>808600</v>
      </c>
      <c r="J687" s="231">
        <f t="shared" si="138"/>
        <v>808600</v>
      </c>
    </row>
    <row r="688" spans="1:10" x14ac:dyDescent="0.2">
      <c r="A688" s="247"/>
      <c r="B688" s="247">
        <v>218</v>
      </c>
      <c r="C688" s="222" t="s">
        <v>202</v>
      </c>
      <c r="D688" s="222"/>
      <c r="E688" s="231">
        <f t="shared" si="138"/>
        <v>4368</v>
      </c>
      <c r="F688" s="231">
        <f t="shared" si="138"/>
        <v>71200</v>
      </c>
      <c r="G688" s="231">
        <f t="shared" si="138"/>
        <v>71200</v>
      </c>
      <c r="H688" s="231">
        <f t="shared" si="138"/>
        <v>0</v>
      </c>
      <c r="I688" s="231">
        <f t="shared" si="138"/>
        <v>9400</v>
      </c>
      <c r="J688" s="231">
        <f t="shared" si="138"/>
        <v>0</v>
      </c>
    </row>
    <row r="689" spans="1:10" x14ac:dyDescent="0.2">
      <c r="A689" s="247"/>
      <c r="B689" s="247">
        <v>219</v>
      </c>
      <c r="C689" s="222" t="s">
        <v>203</v>
      </c>
      <c r="D689" s="222"/>
      <c r="E689" s="231">
        <f t="shared" si="138"/>
        <v>0</v>
      </c>
      <c r="F689" s="231">
        <f t="shared" si="138"/>
        <v>0</v>
      </c>
      <c r="G689" s="231">
        <f t="shared" si="138"/>
        <v>0</v>
      </c>
      <c r="H689" s="231">
        <f t="shared" si="138"/>
        <v>0</v>
      </c>
      <c r="I689" s="231">
        <f t="shared" si="138"/>
        <v>0</v>
      </c>
      <c r="J689" s="231">
        <f t="shared" si="138"/>
        <v>0</v>
      </c>
    </row>
    <row r="690" spans="1:10" x14ac:dyDescent="0.2">
      <c r="A690" s="247"/>
      <c r="B690" s="247">
        <v>220</v>
      </c>
      <c r="C690" s="222" t="s">
        <v>204</v>
      </c>
      <c r="D690" s="222"/>
      <c r="E690" s="231">
        <f t="shared" si="138"/>
        <v>2129.16</v>
      </c>
      <c r="F690" s="231">
        <f t="shared" si="138"/>
        <v>2700</v>
      </c>
      <c r="G690" s="231">
        <f t="shared" si="138"/>
        <v>4000</v>
      </c>
      <c r="H690" s="231">
        <f t="shared" si="138"/>
        <v>6000</v>
      </c>
      <c r="I690" s="231">
        <f t="shared" si="138"/>
        <v>6000</v>
      </c>
      <c r="J690" s="231">
        <f t="shared" si="138"/>
        <v>6000</v>
      </c>
    </row>
    <row r="691" spans="1:10" x14ac:dyDescent="0.2">
      <c r="A691" s="247"/>
      <c r="B691" s="247">
        <v>222</v>
      </c>
      <c r="C691" s="222" t="s">
        <v>205</v>
      </c>
      <c r="D691" s="222"/>
      <c r="E691" s="231">
        <f t="shared" si="138"/>
        <v>346868.49</v>
      </c>
      <c r="F691" s="231">
        <f t="shared" si="138"/>
        <v>287000</v>
      </c>
      <c r="G691" s="231">
        <f t="shared" si="138"/>
        <v>302700</v>
      </c>
      <c r="H691" s="231">
        <f t="shared" si="138"/>
        <v>280000</v>
      </c>
      <c r="I691" s="231">
        <f t="shared" si="138"/>
        <v>280000</v>
      </c>
      <c r="J691" s="231">
        <f t="shared" si="138"/>
        <v>280000</v>
      </c>
    </row>
    <row r="692" spans="1:10" x14ac:dyDescent="0.2">
      <c r="A692" s="247"/>
      <c r="B692" s="247">
        <v>224</v>
      </c>
      <c r="C692" s="222" t="s">
        <v>206</v>
      </c>
      <c r="D692" s="222"/>
      <c r="E692" s="231">
        <f t="shared" si="138"/>
        <v>28338.79</v>
      </c>
      <c r="F692" s="231">
        <f t="shared" si="138"/>
        <v>44400</v>
      </c>
      <c r="G692" s="231">
        <f t="shared" si="138"/>
        <v>38600</v>
      </c>
      <c r="H692" s="231">
        <f t="shared" si="138"/>
        <v>42900</v>
      </c>
      <c r="I692" s="231">
        <f t="shared" si="138"/>
        <v>42900</v>
      </c>
      <c r="J692" s="231">
        <f t="shared" si="138"/>
        <v>42900</v>
      </c>
    </row>
    <row r="693" spans="1:10" x14ac:dyDescent="0.2">
      <c r="A693" s="247"/>
      <c r="B693" s="247">
        <v>226</v>
      </c>
      <c r="C693" s="222" t="s">
        <v>207</v>
      </c>
      <c r="D693" s="222"/>
      <c r="E693" s="231">
        <f t="shared" si="138"/>
        <v>47825.97</v>
      </c>
      <c r="F693" s="231">
        <f t="shared" si="138"/>
        <v>56700</v>
      </c>
      <c r="G693" s="231">
        <f t="shared" si="138"/>
        <v>58000</v>
      </c>
      <c r="H693" s="231">
        <f t="shared" si="138"/>
        <v>60200</v>
      </c>
      <c r="I693" s="231">
        <f t="shared" si="138"/>
        <v>60200</v>
      </c>
      <c r="J693" s="231">
        <f t="shared" si="138"/>
        <v>60200</v>
      </c>
    </row>
    <row r="694" spans="1:10" x14ac:dyDescent="0.2">
      <c r="A694" s="247"/>
      <c r="B694" s="247">
        <v>228</v>
      </c>
      <c r="C694" s="222" t="s">
        <v>208</v>
      </c>
      <c r="D694" s="222"/>
      <c r="E694" s="231">
        <f t="shared" si="138"/>
        <v>74746.83</v>
      </c>
      <c r="F694" s="231">
        <f t="shared" si="138"/>
        <v>76000</v>
      </c>
      <c r="G694" s="231">
        <f t="shared" si="138"/>
        <v>74700</v>
      </c>
      <c r="H694" s="231">
        <f t="shared" si="138"/>
        <v>77900</v>
      </c>
      <c r="I694" s="231">
        <f t="shared" si="138"/>
        <v>78900</v>
      </c>
      <c r="J694" s="231">
        <f t="shared" si="138"/>
        <v>78900</v>
      </c>
    </row>
    <row r="695" spans="1:10" x14ac:dyDescent="0.2">
      <c r="A695" s="247"/>
      <c r="B695" s="247">
        <v>229</v>
      </c>
      <c r="C695" s="222" t="s">
        <v>209</v>
      </c>
      <c r="D695" s="222"/>
      <c r="E695" s="231">
        <f t="shared" si="138"/>
        <v>579056.8899999999</v>
      </c>
      <c r="F695" s="231">
        <f t="shared" si="138"/>
        <v>1937900</v>
      </c>
      <c r="G695" s="231">
        <f t="shared" si="138"/>
        <v>1919200</v>
      </c>
      <c r="H695" s="231">
        <f t="shared" si="138"/>
        <v>2018900</v>
      </c>
      <c r="I695" s="231">
        <f t="shared" si="138"/>
        <v>1907500</v>
      </c>
      <c r="J695" s="231">
        <f t="shared" si="138"/>
        <v>1927900</v>
      </c>
    </row>
    <row r="696" spans="1:10" x14ac:dyDescent="0.2">
      <c r="A696" s="247"/>
      <c r="B696" s="247">
        <v>230</v>
      </c>
      <c r="C696" s="222" t="s">
        <v>210</v>
      </c>
      <c r="D696" s="222"/>
      <c r="E696" s="231">
        <f t="shared" si="138"/>
        <v>15451.83</v>
      </c>
      <c r="F696" s="231">
        <f t="shared" si="138"/>
        <v>16500</v>
      </c>
      <c r="G696" s="231">
        <f t="shared" si="138"/>
        <v>16600</v>
      </c>
      <c r="H696" s="231">
        <f t="shared" si="138"/>
        <v>16500</v>
      </c>
      <c r="I696" s="231">
        <f t="shared" si="138"/>
        <v>16500</v>
      </c>
      <c r="J696" s="231">
        <f t="shared" si="138"/>
        <v>16500</v>
      </c>
    </row>
    <row r="697" spans="1:10" x14ac:dyDescent="0.2">
      <c r="A697" s="247"/>
      <c r="B697" s="247">
        <v>232</v>
      </c>
      <c r="C697" s="222" t="s">
        <v>211</v>
      </c>
      <c r="D697" s="222"/>
      <c r="E697" s="231">
        <f t="shared" si="138"/>
        <v>43897.89</v>
      </c>
      <c r="F697" s="231">
        <f t="shared" si="138"/>
        <v>49600</v>
      </c>
      <c r="G697" s="231">
        <f t="shared" si="138"/>
        <v>48100</v>
      </c>
      <c r="H697" s="231">
        <f t="shared" si="138"/>
        <v>51400</v>
      </c>
      <c r="I697" s="231">
        <f t="shared" si="138"/>
        <v>51400</v>
      </c>
      <c r="J697" s="231">
        <f t="shared" si="138"/>
        <v>51400</v>
      </c>
    </row>
    <row r="698" spans="1:10" x14ac:dyDescent="0.2">
      <c r="A698" s="247"/>
      <c r="B698" s="247">
        <v>234</v>
      </c>
      <c r="C698" s="222" t="s">
        <v>212</v>
      </c>
      <c r="D698" s="222"/>
      <c r="E698" s="231">
        <f t="shared" si="138"/>
        <v>26532.6</v>
      </c>
      <c r="F698" s="231">
        <f t="shared" si="138"/>
        <v>79200</v>
      </c>
      <c r="G698" s="231">
        <f t="shared" si="138"/>
        <v>16400</v>
      </c>
      <c r="H698" s="231">
        <f t="shared" si="138"/>
        <v>79200</v>
      </c>
      <c r="I698" s="231">
        <f t="shared" si="138"/>
        <v>79200</v>
      </c>
      <c r="J698" s="231">
        <f t="shared" si="138"/>
        <v>79200</v>
      </c>
    </row>
    <row r="699" spans="1:10" x14ac:dyDescent="0.2">
      <c r="A699" s="247"/>
      <c r="B699" s="247">
        <v>236</v>
      </c>
      <c r="C699" s="222" t="s">
        <v>213</v>
      </c>
      <c r="D699" s="222"/>
      <c r="E699" s="231">
        <f t="shared" ref="E699:J714" si="139">SUMIF($A$55:$A$1027,$B699,E$55:E$1027)</f>
        <v>1684519.78</v>
      </c>
      <c r="F699" s="231">
        <f t="shared" si="139"/>
        <v>495500</v>
      </c>
      <c r="G699" s="231">
        <f t="shared" si="139"/>
        <v>512900</v>
      </c>
      <c r="H699" s="231">
        <f t="shared" si="139"/>
        <v>507500</v>
      </c>
      <c r="I699" s="231">
        <f t="shared" si="139"/>
        <v>507500</v>
      </c>
      <c r="J699" s="231">
        <f t="shared" si="139"/>
        <v>507500</v>
      </c>
    </row>
    <row r="700" spans="1:10" x14ac:dyDescent="0.2">
      <c r="A700" s="247"/>
      <c r="B700" s="247">
        <v>238</v>
      </c>
      <c r="C700" s="222" t="s">
        <v>214</v>
      </c>
      <c r="D700" s="222"/>
      <c r="E700" s="231">
        <f t="shared" si="139"/>
        <v>307616.44</v>
      </c>
      <c r="F700" s="231">
        <f t="shared" si="139"/>
        <v>319200</v>
      </c>
      <c r="G700" s="231">
        <f t="shared" si="139"/>
        <v>309700</v>
      </c>
      <c r="H700" s="231">
        <f t="shared" si="139"/>
        <v>319200</v>
      </c>
      <c r="I700" s="231">
        <f t="shared" si="139"/>
        <v>319200</v>
      </c>
      <c r="J700" s="231">
        <f t="shared" si="139"/>
        <v>319200</v>
      </c>
    </row>
    <row r="701" spans="1:10" x14ac:dyDescent="0.2">
      <c r="A701" s="247"/>
      <c r="B701" s="247">
        <v>240</v>
      </c>
      <c r="C701" s="222" t="s">
        <v>215</v>
      </c>
      <c r="D701" s="222"/>
      <c r="E701" s="231">
        <f t="shared" si="139"/>
        <v>9924.75</v>
      </c>
      <c r="F701" s="231">
        <f t="shared" si="139"/>
        <v>10000</v>
      </c>
      <c r="G701" s="231">
        <f t="shared" si="139"/>
        <v>10000</v>
      </c>
      <c r="H701" s="231">
        <f t="shared" si="139"/>
        <v>10000</v>
      </c>
      <c r="I701" s="231">
        <f t="shared" si="139"/>
        <v>10000</v>
      </c>
      <c r="J701" s="231">
        <f t="shared" si="139"/>
        <v>10000</v>
      </c>
    </row>
    <row r="702" spans="1:10" x14ac:dyDescent="0.2">
      <c r="A702" s="247"/>
      <c r="B702" s="247">
        <v>242</v>
      </c>
      <c r="C702" s="222" t="s">
        <v>216</v>
      </c>
      <c r="D702" s="222"/>
      <c r="E702" s="231">
        <f t="shared" si="139"/>
        <v>0</v>
      </c>
      <c r="F702" s="231">
        <f t="shared" si="139"/>
        <v>0</v>
      </c>
      <c r="G702" s="231">
        <f t="shared" si="139"/>
        <v>0</v>
      </c>
      <c r="H702" s="231">
        <f t="shared" si="139"/>
        <v>0</v>
      </c>
      <c r="I702" s="231">
        <f t="shared" si="139"/>
        <v>0</v>
      </c>
      <c r="J702" s="231">
        <f t="shared" si="139"/>
        <v>0</v>
      </c>
    </row>
    <row r="703" spans="1:10" x14ac:dyDescent="0.2">
      <c r="A703" s="247"/>
      <c r="B703" s="247">
        <v>244</v>
      </c>
      <c r="C703" s="222" t="s">
        <v>217</v>
      </c>
      <c r="D703" s="222"/>
      <c r="E703" s="231">
        <f t="shared" si="139"/>
        <v>0</v>
      </c>
      <c r="F703" s="231">
        <f t="shared" si="139"/>
        <v>3500</v>
      </c>
      <c r="G703" s="231">
        <f t="shared" si="139"/>
        <v>3500</v>
      </c>
      <c r="H703" s="231">
        <f t="shared" si="139"/>
        <v>3500</v>
      </c>
      <c r="I703" s="231">
        <f t="shared" si="139"/>
        <v>3500</v>
      </c>
      <c r="J703" s="231">
        <f t="shared" si="139"/>
        <v>3500</v>
      </c>
    </row>
    <row r="704" spans="1:10" x14ac:dyDescent="0.2">
      <c r="A704" s="247"/>
      <c r="B704" s="247">
        <v>246</v>
      </c>
      <c r="C704" s="222" t="s">
        <v>218</v>
      </c>
      <c r="D704" s="222"/>
      <c r="E704" s="231">
        <f t="shared" si="139"/>
        <v>41284.5</v>
      </c>
      <c r="F704" s="231">
        <f t="shared" si="139"/>
        <v>111500</v>
      </c>
      <c r="G704" s="231">
        <f t="shared" si="139"/>
        <v>92700</v>
      </c>
      <c r="H704" s="231">
        <f t="shared" si="139"/>
        <v>107000</v>
      </c>
      <c r="I704" s="231">
        <f t="shared" si="139"/>
        <v>106000</v>
      </c>
      <c r="J704" s="231">
        <f t="shared" si="139"/>
        <v>106000</v>
      </c>
    </row>
    <row r="705" spans="1:10" x14ac:dyDescent="0.2">
      <c r="A705" s="247"/>
      <c r="B705" s="247">
        <v>247</v>
      </c>
      <c r="C705" s="222" t="s">
        <v>219</v>
      </c>
      <c r="D705" s="222"/>
      <c r="E705" s="231">
        <f t="shared" si="139"/>
        <v>0</v>
      </c>
      <c r="F705" s="231">
        <f t="shared" si="139"/>
        <v>0</v>
      </c>
      <c r="G705" s="231">
        <f t="shared" si="139"/>
        <v>0</v>
      </c>
      <c r="H705" s="231">
        <f t="shared" si="139"/>
        <v>0</v>
      </c>
      <c r="I705" s="231">
        <f t="shared" si="139"/>
        <v>0</v>
      </c>
      <c r="J705" s="231">
        <f t="shared" si="139"/>
        <v>0</v>
      </c>
    </row>
    <row r="706" spans="1:10" x14ac:dyDescent="0.2">
      <c r="A706" s="247"/>
      <c r="B706" s="247">
        <v>260</v>
      </c>
      <c r="C706" s="222" t="s">
        <v>220</v>
      </c>
      <c r="D706" s="222"/>
      <c r="E706" s="231">
        <f t="shared" si="139"/>
        <v>0</v>
      </c>
      <c r="F706" s="231">
        <f t="shared" si="139"/>
        <v>0</v>
      </c>
      <c r="G706" s="231">
        <f t="shared" si="139"/>
        <v>0</v>
      </c>
      <c r="H706" s="231">
        <f t="shared" si="139"/>
        <v>0</v>
      </c>
      <c r="I706" s="231">
        <f t="shared" si="139"/>
        <v>0</v>
      </c>
      <c r="J706" s="231">
        <f t="shared" si="139"/>
        <v>0</v>
      </c>
    </row>
    <row r="707" spans="1:10" x14ac:dyDescent="0.2">
      <c r="A707" s="247"/>
      <c r="B707" s="247">
        <v>261</v>
      </c>
      <c r="C707" s="222" t="s">
        <v>221</v>
      </c>
      <c r="D707" s="222"/>
      <c r="E707" s="231">
        <f t="shared" si="139"/>
        <v>551402.66</v>
      </c>
      <c r="F707" s="231">
        <f t="shared" si="139"/>
        <v>567000</v>
      </c>
      <c r="G707" s="231">
        <f t="shared" si="139"/>
        <v>565700</v>
      </c>
      <c r="H707" s="231">
        <f t="shared" si="139"/>
        <v>746900</v>
      </c>
      <c r="I707" s="231">
        <f t="shared" si="139"/>
        <v>620900</v>
      </c>
      <c r="J707" s="231">
        <f t="shared" si="139"/>
        <v>620900</v>
      </c>
    </row>
    <row r="708" spans="1:10" x14ac:dyDescent="0.2">
      <c r="A708" s="247"/>
      <c r="B708" s="247">
        <v>265</v>
      </c>
      <c r="C708" s="222" t="s">
        <v>222</v>
      </c>
      <c r="D708" s="222"/>
      <c r="E708" s="231">
        <f t="shared" si="139"/>
        <v>0</v>
      </c>
      <c r="F708" s="231">
        <f t="shared" si="139"/>
        <v>0</v>
      </c>
      <c r="G708" s="231">
        <f t="shared" si="139"/>
        <v>0</v>
      </c>
      <c r="H708" s="231">
        <f t="shared" si="139"/>
        <v>0</v>
      </c>
      <c r="I708" s="231">
        <f t="shared" si="139"/>
        <v>0</v>
      </c>
      <c r="J708" s="231">
        <f t="shared" si="139"/>
        <v>0</v>
      </c>
    </row>
    <row r="709" spans="1:10" x14ac:dyDescent="0.2">
      <c r="A709" s="247"/>
      <c r="B709" s="247">
        <v>266</v>
      </c>
      <c r="C709" s="222" t="s">
        <v>223</v>
      </c>
      <c r="D709" s="222"/>
      <c r="E709" s="231">
        <f t="shared" si="139"/>
        <v>0</v>
      </c>
      <c r="F709" s="231">
        <f t="shared" si="139"/>
        <v>0</v>
      </c>
      <c r="G709" s="231">
        <f t="shared" si="139"/>
        <v>0</v>
      </c>
      <c r="H709" s="231">
        <f t="shared" si="139"/>
        <v>0</v>
      </c>
      <c r="I709" s="231">
        <f t="shared" si="139"/>
        <v>0</v>
      </c>
      <c r="J709" s="231">
        <f t="shared" si="139"/>
        <v>0</v>
      </c>
    </row>
    <row r="710" spans="1:10" x14ac:dyDescent="0.2">
      <c r="A710" s="247"/>
      <c r="B710" s="247">
        <v>270</v>
      </c>
      <c r="C710" s="222" t="s">
        <v>224</v>
      </c>
      <c r="D710" s="222"/>
      <c r="E710" s="231">
        <f t="shared" si="139"/>
        <v>1458123.99</v>
      </c>
      <c r="F710" s="231">
        <f t="shared" si="139"/>
        <v>1505500</v>
      </c>
      <c r="G710" s="231">
        <f t="shared" si="139"/>
        <v>1504900</v>
      </c>
      <c r="H710" s="231">
        <f t="shared" si="139"/>
        <v>1505500</v>
      </c>
      <c r="I710" s="231">
        <f t="shared" si="139"/>
        <v>1505500</v>
      </c>
      <c r="J710" s="231">
        <f t="shared" si="139"/>
        <v>1505500</v>
      </c>
    </row>
    <row r="711" spans="1:10" x14ac:dyDescent="0.2">
      <c r="A711" s="247"/>
      <c r="B711" s="247">
        <v>272</v>
      </c>
      <c r="C711" s="222" t="s">
        <v>225</v>
      </c>
      <c r="D711" s="222"/>
      <c r="E711" s="231">
        <f t="shared" si="139"/>
        <v>5505742.8799999999</v>
      </c>
      <c r="F711" s="231">
        <f t="shared" si="139"/>
        <v>125000</v>
      </c>
      <c r="G711" s="231">
        <f t="shared" si="139"/>
        <v>118800</v>
      </c>
      <c r="H711" s="231">
        <f t="shared" si="139"/>
        <v>250000</v>
      </c>
      <c r="I711" s="231">
        <f t="shared" si="139"/>
        <v>350000</v>
      </c>
      <c r="J711" s="231">
        <f t="shared" si="139"/>
        <v>350000</v>
      </c>
    </row>
    <row r="712" spans="1:10" x14ac:dyDescent="0.2">
      <c r="A712" s="247"/>
      <c r="B712" s="247">
        <v>273</v>
      </c>
      <c r="C712" s="222" t="s">
        <v>226</v>
      </c>
      <c r="D712" s="222"/>
      <c r="E712" s="231">
        <f t="shared" si="139"/>
        <v>0</v>
      </c>
      <c r="F712" s="231">
        <f t="shared" si="139"/>
        <v>0</v>
      </c>
      <c r="G712" s="231">
        <f t="shared" si="139"/>
        <v>0</v>
      </c>
      <c r="H712" s="231">
        <f t="shared" si="139"/>
        <v>0</v>
      </c>
      <c r="I712" s="231">
        <f t="shared" si="139"/>
        <v>0</v>
      </c>
      <c r="J712" s="231">
        <f t="shared" si="139"/>
        <v>0</v>
      </c>
    </row>
    <row r="713" spans="1:10" x14ac:dyDescent="0.2">
      <c r="A713" s="247"/>
      <c r="B713" s="247">
        <v>274</v>
      </c>
      <c r="C713" s="222" t="s">
        <v>227</v>
      </c>
      <c r="D713" s="222"/>
      <c r="E713" s="231">
        <f t="shared" si="139"/>
        <v>1087576.9099999999</v>
      </c>
      <c r="F713" s="231">
        <f t="shared" si="139"/>
        <v>2500000</v>
      </c>
      <c r="G713" s="231">
        <f t="shared" si="139"/>
        <v>486400</v>
      </c>
      <c r="H713" s="231">
        <f t="shared" si="139"/>
        <v>150000</v>
      </c>
      <c r="I713" s="231">
        <f t="shared" si="139"/>
        <v>150000</v>
      </c>
      <c r="J713" s="231">
        <f t="shared" si="139"/>
        <v>150000</v>
      </c>
    </row>
    <row r="714" spans="1:10" x14ac:dyDescent="0.2">
      <c r="A714" s="247"/>
      <c r="B714" s="247">
        <v>275</v>
      </c>
      <c r="C714" s="222" t="s">
        <v>228</v>
      </c>
      <c r="D714" s="222"/>
      <c r="E714" s="231">
        <f t="shared" si="139"/>
        <v>43952.85</v>
      </c>
      <c r="F714" s="231">
        <f t="shared" si="139"/>
        <v>230000</v>
      </c>
      <c r="G714" s="231">
        <f t="shared" si="139"/>
        <v>107000</v>
      </c>
      <c r="H714" s="231">
        <f t="shared" si="139"/>
        <v>240000</v>
      </c>
      <c r="I714" s="231">
        <f t="shared" si="139"/>
        <v>240000</v>
      </c>
      <c r="J714" s="231">
        <f t="shared" si="139"/>
        <v>240000</v>
      </c>
    </row>
    <row r="715" spans="1:10" x14ac:dyDescent="0.2">
      <c r="A715" s="247"/>
      <c r="B715" s="247">
        <v>276</v>
      </c>
      <c r="C715" s="222" t="s">
        <v>229</v>
      </c>
      <c r="D715" s="222"/>
      <c r="E715" s="231">
        <f t="shared" ref="E715:J728" si="140">SUMIF($A$55:$A$1027,$B715,E$55:E$1027)</f>
        <v>0</v>
      </c>
      <c r="F715" s="231">
        <f t="shared" si="140"/>
        <v>0</v>
      </c>
      <c r="G715" s="231">
        <f t="shared" si="140"/>
        <v>0</v>
      </c>
      <c r="H715" s="231">
        <f t="shared" si="140"/>
        <v>0</v>
      </c>
      <c r="I715" s="231">
        <f t="shared" si="140"/>
        <v>0</v>
      </c>
      <c r="J715" s="231">
        <f t="shared" si="140"/>
        <v>0</v>
      </c>
    </row>
    <row r="716" spans="1:10" x14ac:dyDescent="0.2">
      <c r="A716" s="247"/>
      <c r="B716" s="247">
        <v>277</v>
      </c>
      <c r="C716" s="222" t="s">
        <v>230</v>
      </c>
      <c r="D716" s="222"/>
      <c r="E716" s="231">
        <f t="shared" si="140"/>
        <v>0</v>
      </c>
      <c r="F716" s="231">
        <f t="shared" si="140"/>
        <v>0</v>
      </c>
      <c r="G716" s="231">
        <f t="shared" si="140"/>
        <v>0</v>
      </c>
      <c r="H716" s="231">
        <f t="shared" si="140"/>
        <v>0</v>
      </c>
      <c r="I716" s="231">
        <f t="shared" si="140"/>
        <v>0</v>
      </c>
      <c r="J716" s="231">
        <f t="shared" si="140"/>
        <v>0</v>
      </c>
    </row>
    <row r="717" spans="1:10" x14ac:dyDescent="0.2">
      <c r="A717" s="247"/>
      <c r="B717" s="247">
        <v>278</v>
      </c>
      <c r="C717" s="222" t="s">
        <v>231</v>
      </c>
      <c r="D717" s="222"/>
      <c r="E717" s="231">
        <f t="shared" si="140"/>
        <v>0</v>
      </c>
      <c r="F717" s="231">
        <f t="shared" si="140"/>
        <v>0</v>
      </c>
      <c r="G717" s="231">
        <f t="shared" si="140"/>
        <v>0</v>
      </c>
      <c r="H717" s="231">
        <f t="shared" si="140"/>
        <v>0</v>
      </c>
      <c r="I717" s="231">
        <f t="shared" si="140"/>
        <v>0</v>
      </c>
      <c r="J717" s="231">
        <f t="shared" si="140"/>
        <v>0</v>
      </c>
    </row>
    <row r="718" spans="1:10" x14ac:dyDescent="0.2">
      <c r="A718" s="247"/>
      <c r="B718" s="247">
        <v>279</v>
      </c>
      <c r="C718" s="222" t="s">
        <v>232</v>
      </c>
      <c r="D718" s="222"/>
      <c r="E718" s="231">
        <f t="shared" si="140"/>
        <v>0</v>
      </c>
      <c r="F718" s="231">
        <f t="shared" si="140"/>
        <v>0</v>
      </c>
      <c r="G718" s="231">
        <f t="shared" si="140"/>
        <v>0</v>
      </c>
      <c r="H718" s="231">
        <f t="shared" si="140"/>
        <v>0</v>
      </c>
      <c r="I718" s="231">
        <f t="shared" si="140"/>
        <v>0</v>
      </c>
      <c r="J718" s="231">
        <f t="shared" si="140"/>
        <v>0</v>
      </c>
    </row>
    <row r="719" spans="1:10" x14ac:dyDescent="0.2">
      <c r="A719" s="247"/>
      <c r="B719" s="247">
        <v>280</v>
      </c>
      <c r="C719" s="222" t="s">
        <v>233</v>
      </c>
      <c r="D719" s="222"/>
      <c r="E719" s="231">
        <f t="shared" si="140"/>
        <v>0</v>
      </c>
      <c r="F719" s="231">
        <f t="shared" si="140"/>
        <v>0</v>
      </c>
      <c r="G719" s="231">
        <f t="shared" si="140"/>
        <v>0</v>
      </c>
      <c r="H719" s="231">
        <f t="shared" si="140"/>
        <v>0</v>
      </c>
      <c r="I719" s="231">
        <f t="shared" si="140"/>
        <v>0</v>
      </c>
      <c r="J719" s="231">
        <f t="shared" si="140"/>
        <v>0</v>
      </c>
    </row>
    <row r="720" spans="1:10" x14ac:dyDescent="0.2">
      <c r="A720" s="247"/>
      <c r="B720" s="247">
        <v>281</v>
      </c>
      <c r="C720" s="222" t="s">
        <v>234</v>
      </c>
      <c r="D720" s="222"/>
      <c r="E720" s="231">
        <f t="shared" si="140"/>
        <v>8141.9</v>
      </c>
      <c r="F720" s="231">
        <f t="shared" si="140"/>
        <v>15000</v>
      </c>
      <c r="G720" s="231">
        <f t="shared" si="140"/>
        <v>15000</v>
      </c>
      <c r="H720" s="231">
        <f t="shared" si="140"/>
        <v>15000</v>
      </c>
      <c r="I720" s="231">
        <f t="shared" si="140"/>
        <v>15000</v>
      </c>
      <c r="J720" s="231">
        <f t="shared" si="140"/>
        <v>15000</v>
      </c>
    </row>
    <row r="721" spans="1:10" x14ac:dyDescent="0.2">
      <c r="A721" s="247"/>
      <c r="B721" s="247">
        <v>282</v>
      </c>
      <c r="C721" s="222" t="s">
        <v>235</v>
      </c>
      <c r="D721" s="222"/>
      <c r="E721" s="231">
        <f t="shared" si="140"/>
        <v>0</v>
      </c>
      <c r="F721" s="231">
        <f t="shared" si="140"/>
        <v>0</v>
      </c>
      <c r="G721" s="231">
        <f t="shared" si="140"/>
        <v>0</v>
      </c>
      <c r="H721" s="231">
        <f t="shared" si="140"/>
        <v>0</v>
      </c>
      <c r="I721" s="231">
        <f t="shared" si="140"/>
        <v>0</v>
      </c>
      <c r="J721" s="231">
        <f t="shared" si="140"/>
        <v>0</v>
      </c>
    </row>
    <row r="722" spans="1:10" x14ac:dyDescent="0.2">
      <c r="A722" s="247"/>
      <c r="B722" s="247">
        <v>283</v>
      </c>
      <c r="C722" s="222" t="s">
        <v>236</v>
      </c>
      <c r="D722" s="222"/>
      <c r="E722" s="231">
        <f t="shared" si="140"/>
        <v>0</v>
      </c>
      <c r="F722" s="231">
        <f t="shared" si="140"/>
        <v>0</v>
      </c>
      <c r="G722" s="231">
        <f t="shared" si="140"/>
        <v>0</v>
      </c>
      <c r="H722" s="231">
        <f t="shared" si="140"/>
        <v>0</v>
      </c>
      <c r="I722" s="231">
        <f t="shared" si="140"/>
        <v>0</v>
      </c>
      <c r="J722" s="231">
        <f t="shared" si="140"/>
        <v>0</v>
      </c>
    </row>
    <row r="723" spans="1:10" x14ac:dyDescent="0.2">
      <c r="A723" s="247"/>
      <c r="B723" s="247">
        <v>284</v>
      </c>
      <c r="C723" s="222" t="s">
        <v>340</v>
      </c>
      <c r="D723" s="222"/>
      <c r="E723" s="231">
        <f t="shared" si="140"/>
        <v>0</v>
      </c>
      <c r="F723" s="231">
        <f t="shared" si="140"/>
        <v>30000</v>
      </c>
      <c r="G723" s="231">
        <f t="shared" si="140"/>
        <v>30000</v>
      </c>
      <c r="H723" s="231">
        <f t="shared" si="140"/>
        <v>30000</v>
      </c>
      <c r="I723" s="231">
        <f t="shared" si="140"/>
        <v>30000</v>
      </c>
      <c r="J723" s="231">
        <f t="shared" si="140"/>
        <v>30000</v>
      </c>
    </row>
    <row r="724" spans="1:10" x14ac:dyDescent="0.2">
      <c r="A724" s="247"/>
      <c r="B724" s="247">
        <v>290</v>
      </c>
      <c r="C724" s="222" t="s">
        <v>238</v>
      </c>
      <c r="D724" s="222"/>
      <c r="E724" s="231">
        <f t="shared" si="140"/>
        <v>17114.93</v>
      </c>
      <c r="F724" s="231">
        <f t="shared" si="140"/>
        <v>3500</v>
      </c>
      <c r="G724" s="231">
        <f t="shared" si="140"/>
        <v>2800</v>
      </c>
      <c r="H724" s="231">
        <f t="shared" si="140"/>
        <v>329400</v>
      </c>
      <c r="I724" s="231">
        <f t="shared" si="140"/>
        <v>329400</v>
      </c>
      <c r="J724" s="231">
        <f t="shared" si="140"/>
        <v>329400</v>
      </c>
    </row>
    <row r="725" spans="1:10" x14ac:dyDescent="0.2">
      <c r="A725" s="247"/>
      <c r="B725" s="247">
        <v>292</v>
      </c>
      <c r="C725" s="222" t="s">
        <v>239</v>
      </c>
      <c r="D725" s="222"/>
      <c r="E725" s="231">
        <f t="shared" si="140"/>
        <v>501663.92</v>
      </c>
      <c r="F725" s="231">
        <f t="shared" si="140"/>
        <v>502000</v>
      </c>
      <c r="G725" s="231">
        <f t="shared" si="140"/>
        <v>501900</v>
      </c>
      <c r="H725" s="231">
        <f t="shared" si="140"/>
        <v>502000</v>
      </c>
      <c r="I725" s="231">
        <f t="shared" si="140"/>
        <v>502000</v>
      </c>
      <c r="J725" s="231">
        <f t="shared" si="140"/>
        <v>502000</v>
      </c>
    </row>
    <row r="726" spans="1:10" x14ac:dyDescent="0.2">
      <c r="A726" s="247"/>
      <c r="B726" s="247">
        <v>293</v>
      </c>
      <c r="C726" s="222" t="s">
        <v>240</v>
      </c>
      <c r="D726" s="222"/>
      <c r="E726" s="231">
        <f t="shared" si="140"/>
        <v>139956.01</v>
      </c>
      <c r="F726" s="231">
        <f t="shared" si="140"/>
        <v>138000</v>
      </c>
      <c r="G726" s="231">
        <f t="shared" si="140"/>
        <v>133000</v>
      </c>
      <c r="H726" s="231">
        <f t="shared" si="140"/>
        <v>247300</v>
      </c>
      <c r="I726" s="231">
        <f t="shared" si="140"/>
        <v>247300</v>
      </c>
      <c r="J726" s="231">
        <f t="shared" si="140"/>
        <v>247300</v>
      </c>
    </row>
    <row r="727" spans="1:10" x14ac:dyDescent="0.2">
      <c r="A727" s="222"/>
      <c r="B727" s="247"/>
      <c r="C727" s="229" t="s">
        <v>1244</v>
      </c>
      <c r="D727" s="240"/>
      <c r="E727" s="248">
        <f t="shared" ref="E727:J727" si="141">SUM(E683:E726)</f>
        <v>16908097.84</v>
      </c>
      <c r="F727" s="248">
        <f t="shared" si="141"/>
        <v>14218300</v>
      </c>
      <c r="G727" s="248">
        <f t="shared" si="141"/>
        <v>11678200</v>
      </c>
      <c r="H727" s="248">
        <f t="shared" si="141"/>
        <v>12661800</v>
      </c>
      <c r="I727" s="248">
        <f t="shared" si="141"/>
        <v>12829900</v>
      </c>
      <c r="J727" s="248">
        <f t="shared" si="141"/>
        <v>12910400</v>
      </c>
    </row>
  </sheetData>
  <mergeCells count="627">
    <mergeCell ref="A622:E622"/>
    <mergeCell ref="A623:J623"/>
    <mergeCell ref="A616:E616"/>
    <mergeCell ref="A617:E617"/>
    <mergeCell ref="A618:E618"/>
    <mergeCell ref="A619:E619"/>
    <mergeCell ref="A620:J620"/>
    <mergeCell ref="A621:E621"/>
    <mergeCell ref="A610:J610"/>
    <mergeCell ref="A611:J611"/>
    <mergeCell ref="A612:J612"/>
    <mergeCell ref="A613:J613"/>
    <mergeCell ref="A614:E614"/>
    <mergeCell ref="A615:J615"/>
    <mergeCell ref="A604:J604"/>
    <mergeCell ref="A605:J605"/>
    <mergeCell ref="A606:J606"/>
    <mergeCell ref="A607:J607"/>
    <mergeCell ref="A608:J608"/>
    <mergeCell ref="A609:J609"/>
    <mergeCell ref="A598:C598"/>
    <mergeCell ref="A599:C599"/>
    <mergeCell ref="A600:C600"/>
    <mergeCell ref="A601:C601"/>
    <mergeCell ref="A602:D602"/>
    <mergeCell ref="A603:J603"/>
    <mergeCell ref="J592:J593"/>
    <mergeCell ref="C593:D593"/>
    <mergeCell ref="C594:D594"/>
    <mergeCell ref="A595:D595"/>
    <mergeCell ref="A596:J596"/>
    <mergeCell ref="A597:J597"/>
    <mergeCell ref="A588:D588"/>
    <mergeCell ref="A589:D589"/>
    <mergeCell ref="A590:I590"/>
    <mergeCell ref="A591:J591"/>
    <mergeCell ref="A592:D592"/>
    <mergeCell ref="E592:E593"/>
    <mergeCell ref="F592:F593"/>
    <mergeCell ref="G592:G593"/>
    <mergeCell ref="H592:H593"/>
    <mergeCell ref="I592:I593"/>
    <mergeCell ref="B582:D582"/>
    <mergeCell ref="B583:D583"/>
    <mergeCell ref="B584:D584"/>
    <mergeCell ref="B585:D585"/>
    <mergeCell ref="B586:D586"/>
    <mergeCell ref="B587:D587"/>
    <mergeCell ref="A576:D576"/>
    <mergeCell ref="A577:I577"/>
    <mergeCell ref="B578:D578"/>
    <mergeCell ref="B579:D579"/>
    <mergeCell ref="B580:D580"/>
    <mergeCell ref="B581:D581"/>
    <mergeCell ref="B570:D570"/>
    <mergeCell ref="A571:I571"/>
    <mergeCell ref="B572:D572"/>
    <mergeCell ref="B573:D573"/>
    <mergeCell ref="B574:D574"/>
    <mergeCell ref="B575:D575"/>
    <mergeCell ref="A564:J564"/>
    <mergeCell ref="B565:D565"/>
    <mergeCell ref="B566:D566"/>
    <mergeCell ref="A567:D567"/>
    <mergeCell ref="A568:J568"/>
    <mergeCell ref="A569:J569"/>
    <mergeCell ref="A559:E559"/>
    <mergeCell ref="A560:J560"/>
    <mergeCell ref="A561:J561"/>
    <mergeCell ref="A562:C562"/>
    <mergeCell ref="D562:J562"/>
    <mergeCell ref="A563:J563"/>
    <mergeCell ref="A553:E553"/>
    <mergeCell ref="A554:J554"/>
    <mergeCell ref="A555:E555"/>
    <mergeCell ref="A556:E556"/>
    <mergeCell ref="A557:J557"/>
    <mergeCell ref="A558:E558"/>
    <mergeCell ref="A547:J547"/>
    <mergeCell ref="A548:J548"/>
    <mergeCell ref="A549:J549"/>
    <mergeCell ref="A550:J550"/>
    <mergeCell ref="A551:J551"/>
    <mergeCell ref="A552:J552"/>
    <mergeCell ref="A542:C542"/>
    <mergeCell ref="F542:H542"/>
    <mergeCell ref="A543:I543"/>
    <mergeCell ref="A544:J544"/>
    <mergeCell ref="A545:J545"/>
    <mergeCell ref="A546:J546"/>
    <mergeCell ref="A539:C539"/>
    <mergeCell ref="F539:H539"/>
    <mergeCell ref="A540:C540"/>
    <mergeCell ref="F540:H540"/>
    <mergeCell ref="A541:C541"/>
    <mergeCell ref="F541:H541"/>
    <mergeCell ref="J533:J534"/>
    <mergeCell ref="C534:D534"/>
    <mergeCell ref="C535:D535"/>
    <mergeCell ref="A536:D536"/>
    <mergeCell ref="A537:J537"/>
    <mergeCell ref="A538:J538"/>
    <mergeCell ref="A529:D529"/>
    <mergeCell ref="A530:D530"/>
    <mergeCell ref="A531:I531"/>
    <mergeCell ref="A532:J532"/>
    <mergeCell ref="A533:D533"/>
    <mergeCell ref="E533:E534"/>
    <mergeCell ref="F533:F534"/>
    <mergeCell ref="G533:G534"/>
    <mergeCell ref="H533:H534"/>
    <mergeCell ref="I533:I534"/>
    <mergeCell ref="B523:D523"/>
    <mergeCell ref="B524:D524"/>
    <mergeCell ref="B525:D525"/>
    <mergeCell ref="B526:D526"/>
    <mergeCell ref="B527:D527"/>
    <mergeCell ref="B528:D528"/>
    <mergeCell ref="B517:D517"/>
    <mergeCell ref="B518:D518"/>
    <mergeCell ref="A519:D519"/>
    <mergeCell ref="A520:I520"/>
    <mergeCell ref="B521:D521"/>
    <mergeCell ref="B522:D522"/>
    <mergeCell ref="A511:J511"/>
    <mergeCell ref="A512:J512"/>
    <mergeCell ref="B513:D513"/>
    <mergeCell ref="A514:I514"/>
    <mergeCell ref="B515:D515"/>
    <mergeCell ref="B516:D516"/>
    <mergeCell ref="B505:D505"/>
    <mergeCell ref="B506:D506"/>
    <mergeCell ref="B507:D507"/>
    <mergeCell ref="B508:D508"/>
    <mergeCell ref="B509:D509"/>
    <mergeCell ref="A510:D510"/>
    <mergeCell ref="A500:J500"/>
    <mergeCell ref="A501:C501"/>
    <mergeCell ref="D501:J501"/>
    <mergeCell ref="A502:J502"/>
    <mergeCell ref="A503:J503"/>
    <mergeCell ref="B504:D504"/>
    <mergeCell ref="A494:E494"/>
    <mergeCell ref="A495:E495"/>
    <mergeCell ref="A496:E496"/>
    <mergeCell ref="A497:E497"/>
    <mergeCell ref="A498:E498"/>
    <mergeCell ref="A499:J499"/>
    <mergeCell ref="A486:E487"/>
    <mergeCell ref="A488:E488"/>
    <mergeCell ref="A489:E490"/>
    <mergeCell ref="A491:E491"/>
    <mergeCell ref="A492:E492"/>
    <mergeCell ref="A493:J493"/>
    <mergeCell ref="A480:J480"/>
    <mergeCell ref="A481:J481"/>
    <mergeCell ref="A482:J482"/>
    <mergeCell ref="A483:E483"/>
    <mergeCell ref="A484:J484"/>
    <mergeCell ref="A485:E485"/>
    <mergeCell ref="A474:J474"/>
    <mergeCell ref="A475:J475"/>
    <mergeCell ref="A476:J476"/>
    <mergeCell ref="A477:J477"/>
    <mergeCell ref="A478:J478"/>
    <mergeCell ref="A479:J479"/>
    <mergeCell ref="A468:I468"/>
    <mergeCell ref="A469:J469"/>
    <mergeCell ref="A470:J470"/>
    <mergeCell ref="A471:J471"/>
    <mergeCell ref="A472:J472"/>
    <mergeCell ref="A473:J473"/>
    <mergeCell ref="A465:C465"/>
    <mergeCell ref="F465:H465"/>
    <mergeCell ref="A466:C466"/>
    <mergeCell ref="F466:H466"/>
    <mergeCell ref="A467:C467"/>
    <mergeCell ref="F467:H467"/>
    <mergeCell ref="A462:C462"/>
    <mergeCell ref="F462:H462"/>
    <mergeCell ref="A463:C463"/>
    <mergeCell ref="F463:H463"/>
    <mergeCell ref="A464:C464"/>
    <mergeCell ref="F464:H464"/>
    <mergeCell ref="A459:C459"/>
    <mergeCell ref="F459:H459"/>
    <mergeCell ref="A460:C460"/>
    <mergeCell ref="F460:H460"/>
    <mergeCell ref="A461:C461"/>
    <mergeCell ref="F461:H461"/>
    <mergeCell ref="A456:C456"/>
    <mergeCell ref="F456:H456"/>
    <mergeCell ref="A457:C457"/>
    <mergeCell ref="F457:H457"/>
    <mergeCell ref="A458:C458"/>
    <mergeCell ref="F458:H458"/>
    <mergeCell ref="C451:D451"/>
    <mergeCell ref="A452:D452"/>
    <mergeCell ref="A453:J453"/>
    <mergeCell ref="A454:J454"/>
    <mergeCell ref="A455:C455"/>
    <mergeCell ref="F455:H455"/>
    <mergeCell ref="A447:I447"/>
    <mergeCell ref="A448:J448"/>
    <mergeCell ref="A449:D449"/>
    <mergeCell ref="E449:E450"/>
    <mergeCell ref="F449:F450"/>
    <mergeCell ref="G449:G450"/>
    <mergeCell ref="H449:H450"/>
    <mergeCell ref="I449:I450"/>
    <mergeCell ref="J449:J450"/>
    <mergeCell ref="C450:D450"/>
    <mergeCell ref="B441:D441"/>
    <mergeCell ref="B442:D442"/>
    <mergeCell ref="B443:D443"/>
    <mergeCell ref="B444:D444"/>
    <mergeCell ref="A445:D445"/>
    <mergeCell ref="A446:D446"/>
    <mergeCell ref="B435:D435"/>
    <mergeCell ref="B436:D436"/>
    <mergeCell ref="B437:D437"/>
    <mergeCell ref="B438:D438"/>
    <mergeCell ref="B439:D439"/>
    <mergeCell ref="B440:D440"/>
    <mergeCell ref="B429:D429"/>
    <mergeCell ref="B430:D430"/>
    <mergeCell ref="B431:D431"/>
    <mergeCell ref="B432:D432"/>
    <mergeCell ref="A433:D433"/>
    <mergeCell ref="A434:I434"/>
    <mergeCell ref="B423:D423"/>
    <mergeCell ref="A424:D424"/>
    <mergeCell ref="A425:J425"/>
    <mergeCell ref="A426:J426"/>
    <mergeCell ref="B427:D427"/>
    <mergeCell ref="A428:I428"/>
    <mergeCell ref="B417:D417"/>
    <mergeCell ref="B418:D418"/>
    <mergeCell ref="B419:D419"/>
    <mergeCell ref="B420:D420"/>
    <mergeCell ref="B421:D421"/>
    <mergeCell ref="B422:D422"/>
    <mergeCell ref="B411:D411"/>
    <mergeCell ref="B412:D412"/>
    <mergeCell ref="B413:D413"/>
    <mergeCell ref="B414:D414"/>
    <mergeCell ref="B415:D415"/>
    <mergeCell ref="B416:D416"/>
    <mergeCell ref="B405:D405"/>
    <mergeCell ref="B406:D406"/>
    <mergeCell ref="B407:D407"/>
    <mergeCell ref="B408:D408"/>
    <mergeCell ref="B409:D409"/>
    <mergeCell ref="B410:D410"/>
    <mergeCell ref="A400:C400"/>
    <mergeCell ref="D400:J400"/>
    <mergeCell ref="A401:J401"/>
    <mergeCell ref="A402:J402"/>
    <mergeCell ref="B403:D403"/>
    <mergeCell ref="B404:D404"/>
    <mergeCell ref="A394:J394"/>
    <mergeCell ref="A395:E395"/>
    <mergeCell ref="A396:E396"/>
    <mergeCell ref="A397:E397"/>
    <mergeCell ref="A398:J398"/>
    <mergeCell ref="A399:J399"/>
    <mergeCell ref="A388:J388"/>
    <mergeCell ref="A389:E389"/>
    <mergeCell ref="A390:J390"/>
    <mergeCell ref="A391:E391"/>
    <mergeCell ref="A392:E392"/>
    <mergeCell ref="A393:E393"/>
    <mergeCell ref="A382:J382"/>
    <mergeCell ref="A383:J383"/>
    <mergeCell ref="A384:J384"/>
    <mergeCell ref="A385:J385"/>
    <mergeCell ref="A386:J386"/>
    <mergeCell ref="A387:J387"/>
    <mergeCell ref="A377:C377"/>
    <mergeCell ref="F377:H377"/>
    <mergeCell ref="A378:I378"/>
    <mergeCell ref="A379:J379"/>
    <mergeCell ref="A380:J380"/>
    <mergeCell ref="A381:J381"/>
    <mergeCell ref="A374:C374"/>
    <mergeCell ref="F374:H374"/>
    <mergeCell ref="A375:C375"/>
    <mergeCell ref="F375:H375"/>
    <mergeCell ref="A376:C376"/>
    <mergeCell ref="F376:H376"/>
    <mergeCell ref="C369:D369"/>
    <mergeCell ref="A370:D370"/>
    <mergeCell ref="A371:J371"/>
    <mergeCell ref="A372:J372"/>
    <mergeCell ref="A373:C373"/>
    <mergeCell ref="F373:H373"/>
    <mergeCell ref="A365:I365"/>
    <mergeCell ref="A366:J366"/>
    <mergeCell ref="A367:D367"/>
    <mergeCell ref="E367:E368"/>
    <mergeCell ref="F367:F368"/>
    <mergeCell ref="G367:G368"/>
    <mergeCell ref="H367:H368"/>
    <mergeCell ref="I367:I368"/>
    <mergeCell ref="J367:J368"/>
    <mergeCell ref="C368:D368"/>
    <mergeCell ref="B359:D359"/>
    <mergeCell ref="B360:D360"/>
    <mergeCell ref="B361:D361"/>
    <mergeCell ref="B362:D362"/>
    <mergeCell ref="A363:D363"/>
    <mergeCell ref="A364:D364"/>
    <mergeCell ref="B353:D353"/>
    <mergeCell ref="B354:D354"/>
    <mergeCell ref="B355:D355"/>
    <mergeCell ref="B356:D356"/>
    <mergeCell ref="B357:D357"/>
    <mergeCell ref="B358:D358"/>
    <mergeCell ref="B347:D347"/>
    <mergeCell ref="B348:D348"/>
    <mergeCell ref="B349:D349"/>
    <mergeCell ref="A350:D350"/>
    <mergeCell ref="A351:I351"/>
    <mergeCell ref="B352:D352"/>
    <mergeCell ref="A341:J341"/>
    <mergeCell ref="A342:J342"/>
    <mergeCell ref="B343:D343"/>
    <mergeCell ref="A344:I344"/>
    <mergeCell ref="B345:D345"/>
    <mergeCell ref="B346:D346"/>
    <mergeCell ref="B335:D335"/>
    <mergeCell ref="B336:D336"/>
    <mergeCell ref="B337:D337"/>
    <mergeCell ref="B338:D338"/>
    <mergeCell ref="B339:D339"/>
    <mergeCell ref="A340:D340"/>
    <mergeCell ref="B329:D329"/>
    <mergeCell ref="B330:D330"/>
    <mergeCell ref="B331:D331"/>
    <mergeCell ref="B332:D332"/>
    <mergeCell ref="B333:D333"/>
    <mergeCell ref="B334:D334"/>
    <mergeCell ref="A323:J323"/>
    <mergeCell ref="A324:J324"/>
    <mergeCell ref="B325:D325"/>
    <mergeCell ref="B326:D326"/>
    <mergeCell ref="B327:D327"/>
    <mergeCell ref="B328:D328"/>
    <mergeCell ref="A318:E318"/>
    <mergeCell ref="A319:E319"/>
    <mergeCell ref="A320:J320"/>
    <mergeCell ref="A321:J321"/>
    <mergeCell ref="A322:C322"/>
    <mergeCell ref="D322:J322"/>
    <mergeCell ref="A312:E312"/>
    <mergeCell ref="A313:E313"/>
    <mergeCell ref="A314:E314"/>
    <mergeCell ref="A315:E315"/>
    <mergeCell ref="A316:E316"/>
    <mergeCell ref="A317:J317"/>
    <mergeCell ref="A306:J306"/>
    <mergeCell ref="A307:J307"/>
    <mergeCell ref="A308:J308"/>
    <mergeCell ref="A309:E309"/>
    <mergeCell ref="A310:J310"/>
    <mergeCell ref="A311:E311"/>
    <mergeCell ref="A300:J300"/>
    <mergeCell ref="A301:J301"/>
    <mergeCell ref="A302:J302"/>
    <mergeCell ref="A303:J303"/>
    <mergeCell ref="A304:J304"/>
    <mergeCell ref="A305:J305"/>
    <mergeCell ref="A294:I294"/>
    <mergeCell ref="A295:J295"/>
    <mergeCell ref="A296:J296"/>
    <mergeCell ref="A297:J297"/>
    <mergeCell ref="A298:J298"/>
    <mergeCell ref="A299:J299"/>
    <mergeCell ref="A291:C291"/>
    <mergeCell ref="F291:H291"/>
    <mergeCell ref="A292:C292"/>
    <mergeCell ref="F292:H292"/>
    <mergeCell ref="A293:C293"/>
    <mergeCell ref="F293:H293"/>
    <mergeCell ref="C285:D285"/>
    <mergeCell ref="C286:D286"/>
    <mergeCell ref="A287:D287"/>
    <mergeCell ref="A288:J288"/>
    <mergeCell ref="A289:J289"/>
    <mergeCell ref="A290:C290"/>
    <mergeCell ref="F290:H290"/>
    <mergeCell ref="A281:D281"/>
    <mergeCell ref="A282:I282"/>
    <mergeCell ref="A283:J283"/>
    <mergeCell ref="A284:D284"/>
    <mergeCell ref="E284:E285"/>
    <mergeCell ref="F284:F285"/>
    <mergeCell ref="G284:G285"/>
    <mergeCell ref="H284:H285"/>
    <mergeCell ref="I284:I285"/>
    <mergeCell ref="J284:J285"/>
    <mergeCell ref="B264:D264"/>
    <mergeCell ref="B265:D265"/>
    <mergeCell ref="B266:D266"/>
    <mergeCell ref="B267:D267"/>
    <mergeCell ref="A268:D268"/>
    <mergeCell ref="A280:D280"/>
    <mergeCell ref="B258:D258"/>
    <mergeCell ref="A259:D259"/>
    <mergeCell ref="A260:J260"/>
    <mergeCell ref="A261:J261"/>
    <mergeCell ref="B262:D262"/>
    <mergeCell ref="A263:I263"/>
    <mergeCell ref="A253:J253"/>
    <mergeCell ref="A254:C254"/>
    <mergeCell ref="D254:J254"/>
    <mergeCell ref="A255:J255"/>
    <mergeCell ref="A256:J256"/>
    <mergeCell ref="B257:D257"/>
    <mergeCell ref="A247:E247"/>
    <mergeCell ref="A248:J248"/>
    <mergeCell ref="A249:E249"/>
    <mergeCell ref="A250:E250"/>
    <mergeCell ref="A251:E251"/>
    <mergeCell ref="A252:J252"/>
    <mergeCell ref="A241:J241"/>
    <mergeCell ref="A242:J242"/>
    <mergeCell ref="A243:E243"/>
    <mergeCell ref="A244:J244"/>
    <mergeCell ref="A245:E245"/>
    <mergeCell ref="A246:E246"/>
    <mergeCell ref="A235:J235"/>
    <mergeCell ref="A236:J236"/>
    <mergeCell ref="A237:J237"/>
    <mergeCell ref="A238:J238"/>
    <mergeCell ref="A239:J239"/>
    <mergeCell ref="A240:J240"/>
    <mergeCell ref="A229:I229"/>
    <mergeCell ref="A230:J230"/>
    <mergeCell ref="A231:J231"/>
    <mergeCell ref="A232:J232"/>
    <mergeCell ref="A233:J233"/>
    <mergeCell ref="A234:J234"/>
    <mergeCell ref="A226:C226"/>
    <mergeCell ref="F226:H226"/>
    <mergeCell ref="A227:C227"/>
    <mergeCell ref="F227:H227"/>
    <mergeCell ref="A228:C228"/>
    <mergeCell ref="F228:H228"/>
    <mergeCell ref="A221:D221"/>
    <mergeCell ref="A222:J222"/>
    <mergeCell ref="A223:J223"/>
    <mergeCell ref="A224:C224"/>
    <mergeCell ref="F224:H224"/>
    <mergeCell ref="A225:C225"/>
    <mergeCell ref="F225:H225"/>
    <mergeCell ref="A196:I196"/>
    <mergeCell ref="A197:J197"/>
    <mergeCell ref="A198:D198"/>
    <mergeCell ref="E198:E199"/>
    <mergeCell ref="F198:F199"/>
    <mergeCell ref="G198:G199"/>
    <mergeCell ref="H198:H199"/>
    <mergeCell ref="I198:I199"/>
    <mergeCell ref="J198:J199"/>
    <mergeCell ref="C199:D199"/>
    <mergeCell ref="B183:D183"/>
    <mergeCell ref="B184:D184"/>
    <mergeCell ref="A185:D185"/>
    <mergeCell ref="A186:I186"/>
    <mergeCell ref="A194:D194"/>
    <mergeCell ref="A195:D195"/>
    <mergeCell ref="A177:J177"/>
    <mergeCell ref="A178:J178"/>
    <mergeCell ref="B179:D179"/>
    <mergeCell ref="A180:I180"/>
    <mergeCell ref="B181:D181"/>
    <mergeCell ref="B182:D182"/>
    <mergeCell ref="A157:C157"/>
    <mergeCell ref="D157:J157"/>
    <mergeCell ref="A158:J158"/>
    <mergeCell ref="A159:J159"/>
    <mergeCell ref="B160:D160"/>
    <mergeCell ref="A176:D176"/>
    <mergeCell ref="A151:E151"/>
    <mergeCell ref="A152:J152"/>
    <mergeCell ref="A153:E153"/>
    <mergeCell ref="A154:E154"/>
    <mergeCell ref="A155:J155"/>
    <mergeCell ref="A156:J156"/>
    <mergeCell ref="A145:J145"/>
    <mergeCell ref="A146:E146"/>
    <mergeCell ref="A147:J147"/>
    <mergeCell ref="A148:E148"/>
    <mergeCell ref="A149:E149"/>
    <mergeCell ref="A150:E150"/>
    <mergeCell ref="A139:J139"/>
    <mergeCell ref="A140:J140"/>
    <mergeCell ref="A141:J141"/>
    <mergeCell ref="A142:J142"/>
    <mergeCell ref="A143:J143"/>
    <mergeCell ref="A144:J144"/>
    <mergeCell ref="A133:J133"/>
    <mergeCell ref="A134:J134"/>
    <mergeCell ref="A135:J135"/>
    <mergeCell ref="A136:J136"/>
    <mergeCell ref="A137:J137"/>
    <mergeCell ref="A138:J138"/>
    <mergeCell ref="A129:C129"/>
    <mergeCell ref="F129:H129"/>
    <mergeCell ref="A130:C130"/>
    <mergeCell ref="F130:H130"/>
    <mergeCell ref="A131:I131"/>
    <mergeCell ref="A132:J132"/>
    <mergeCell ref="A126:C126"/>
    <mergeCell ref="F126:H126"/>
    <mergeCell ref="A127:C127"/>
    <mergeCell ref="F127:H127"/>
    <mergeCell ref="A128:C128"/>
    <mergeCell ref="F128:H128"/>
    <mergeCell ref="C120:D120"/>
    <mergeCell ref="C121:D121"/>
    <mergeCell ref="A122:D122"/>
    <mergeCell ref="A123:J123"/>
    <mergeCell ref="A124:J124"/>
    <mergeCell ref="A125:C125"/>
    <mergeCell ref="F125:H125"/>
    <mergeCell ref="A116:D116"/>
    <mergeCell ref="A117:I117"/>
    <mergeCell ref="A118:J118"/>
    <mergeCell ref="A119:D119"/>
    <mergeCell ref="E119:E120"/>
    <mergeCell ref="F119:F120"/>
    <mergeCell ref="G119:G120"/>
    <mergeCell ref="H119:H120"/>
    <mergeCell ref="I119:I120"/>
    <mergeCell ref="J119:J120"/>
    <mergeCell ref="B110:D110"/>
    <mergeCell ref="B111:D111"/>
    <mergeCell ref="B112:D112"/>
    <mergeCell ref="B113:D113"/>
    <mergeCell ref="B114:D114"/>
    <mergeCell ref="A115:D115"/>
    <mergeCell ref="B104:D104"/>
    <mergeCell ref="B105:D105"/>
    <mergeCell ref="B106:D106"/>
    <mergeCell ref="B107:D107"/>
    <mergeCell ref="B108:D108"/>
    <mergeCell ref="B109:D109"/>
    <mergeCell ref="B98:D98"/>
    <mergeCell ref="B99:D99"/>
    <mergeCell ref="A100:D100"/>
    <mergeCell ref="A101:I101"/>
    <mergeCell ref="B102:D102"/>
    <mergeCell ref="B103:D103"/>
    <mergeCell ref="A92:J92"/>
    <mergeCell ref="A93:J93"/>
    <mergeCell ref="B94:D94"/>
    <mergeCell ref="A95:I95"/>
    <mergeCell ref="B96:D96"/>
    <mergeCell ref="B97:D97"/>
    <mergeCell ref="A86:J86"/>
    <mergeCell ref="A87:J87"/>
    <mergeCell ref="A88:J88"/>
    <mergeCell ref="B89:D89"/>
    <mergeCell ref="B90:D90"/>
    <mergeCell ref="A91:D91"/>
    <mergeCell ref="A81:J81"/>
    <mergeCell ref="A82:D82"/>
    <mergeCell ref="A83:J83"/>
    <mergeCell ref="A84:J84"/>
    <mergeCell ref="A85:C85"/>
    <mergeCell ref="D85:J85"/>
    <mergeCell ref="A54:J54"/>
    <mergeCell ref="C55:D55"/>
    <mergeCell ref="A77:D77"/>
    <mergeCell ref="A78:J78"/>
    <mergeCell ref="A79:D79"/>
    <mergeCell ref="A80:J80"/>
    <mergeCell ref="B48:D48"/>
    <mergeCell ref="B49:D49"/>
    <mergeCell ref="B50:D50"/>
    <mergeCell ref="B51:D51"/>
    <mergeCell ref="A52:D52"/>
    <mergeCell ref="A53:J53"/>
    <mergeCell ref="B42:D42"/>
    <mergeCell ref="A43:D43"/>
    <mergeCell ref="A44:D44"/>
    <mergeCell ref="A45:J45"/>
    <mergeCell ref="A46:J46"/>
    <mergeCell ref="B47:D47"/>
    <mergeCell ref="B36:D36"/>
    <mergeCell ref="B37:D37"/>
    <mergeCell ref="B38:D38"/>
    <mergeCell ref="B39:D39"/>
    <mergeCell ref="B40:D40"/>
    <mergeCell ref="B41:D41"/>
    <mergeCell ref="B30:D30"/>
    <mergeCell ref="B31:D31"/>
    <mergeCell ref="B32:D32"/>
    <mergeCell ref="A33:D33"/>
    <mergeCell ref="A34:J34"/>
    <mergeCell ref="A35:J35"/>
    <mergeCell ref="B24:D24"/>
    <mergeCell ref="A25:J25"/>
    <mergeCell ref="B26:D26"/>
    <mergeCell ref="B27:D27"/>
    <mergeCell ref="B28:D28"/>
    <mergeCell ref="B29:D29"/>
    <mergeCell ref="A18:J18"/>
    <mergeCell ref="A19:J19"/>
    <mergeCell ref="A20:J20"/>
    <mergeCell ref="A21:J21"/>
    <mergeCell ref="A22:J22"/>
    <mergeCell ref="A23:J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scale="98" fitToHeight="0" orientation="portrait" r:id="rId1"/>
  <rowBreaks count="20" manualBreakCount="20">
    <brk id="34" max="9" man="1"/>
    <brk id="82" max="9" man="1"/>
    <brk id="123" max="9" man="1"/>
    <brk id="155" max="9" man="1"/>
    <brk id="196" max="9" man="1"/>
    <brk id="229" max="9" man="1"/>
    <brk id="252" max="9" man="1"/>
    <brk id="288" max="9" man="1"/>
    <brk id="320" max="9" man="1"/>
    <brk id="364" max="9" man="1"/>
    <brk id="398" max="9" man="1"/>
    <brk id="446" max="9" man="1"/>
    <brk id="469" max="9" man="1"/>
    <brk id="492" max="9" man="1"/>
    <brk id="499" max="9" man="1"/>
    <brk id="544" max="9" man="1"/>
    <brk id="560" max="9" man="1"/>
    <brk id="602" max="9" man="1"/>
    <brk id="623" max="9" man="1"/>
    <brk id="67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86"/>
  <sheetViews>
    <sheetView zoomScaleNormal="100" zoomScaleSheetLayoutView="100" workbookViewId="0">
      <selection activeCell="B1" sqref="B1"/>
    </sheetView>
  </sheetViews>
  <sheetFormatPr defaultColWidth="9.140625" defaultRowHeight="14.25" x14ac:dyDescent="0.2"/>
  <cols>
    <col min="1" max="1" width="6.4257812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ht="15" customHeight="1" x14ac:dyDescent="0.2">
      <c r="A1" s="442" t="s">
        <v>254</v>
      </c>
      <c r="B1" s="443"/>
      <c r="C1" s="443"/>
      <c r="D1" s="443"/>
      <c r="E1" s="443"/>
      <c r="F1" s="443"/>
      <c r="G1" s="443"/>
      <c r="H1" s="443"/>
      <c r="I1" s="443"/>
      <c r="J1" s="444"/>
    </row>
    <row r="2" spans="1:10" ht="15" customHeight="1" x14ac:dyDescent="0.2">
      <c r="A2" s="98" t="s">
        <v>1245</v>
      </c>
      <c r="B2" s="98"/>
      <c r="C2" s="101"/>
      <c r="D2" s="101"/>
      <c r="E2" s="101"/>
      <c r="F2" s="101"/>
      <c r="G2" s="101"/>
      <c r="H2" s="101"/>
      <c r="I2" s="101"/>
      <c r="J2" s="101"/>
    </row>
    <row r="3" spans="1:10" ht="15" thickBot="1" x14ac:dyDescent="0.25">
      <c r="A3" s="409"/>
      <c r="B3" s="409"/>
      <c r="C3" s="409"/>
      <c r="D3" s="409"/>
      <c r="E3" s="409"/>
      <c r="F3" s="409"/>
      <c r="G3" s="409"/>
      <c r="H3" s="409"/>
      <c r="I3" s="409"/>
      <c r="J3" s="409"/>
    </row>
    <row r="4" spans="1:10" x14ac:dyDescent="0.2">
      <c r="A4" s="253" t="s">
        <v>256</v>
      </c>
      <c r="B4" s="254" t="s">
        <v>257</v>
      </c>
      <c r="C4" s="254"/>
      <c r="D4" s="254"/>
      <c r="E4" s="254"/>
      <c r="F4" s="254"/>
      <c r="G4" s="255"/>
      <c r="H4" s="255"/>
      <c r="I4" s="255"/>
      <c r="J4" s="256"/>
    </row>
    <row r="5" spans="1:10" x14ac:dyDescent="0.2">
      <c r="A5" s="109"/>
      <c r="B5" s="106" t="s">
        <v>1246</v>
      </c>
      <c r="C5" s="110"/>
      <c r="D5" s="110"/>
      <c r="E5" s="106"/>
      <c r="F5" s="106"/>
      <c r="G5" s="111"/>
      <c r="H5" s="111"/>
      <c r="I5" s="111"/>
      <c r="J5" s="112"/>
    </row>
    <row r="6" spans="1:10" x14ac:dyDescent="0.2">
      <c r="A6" s="109"/>
      <c r="B6" s="106" t="s">
        <v>1247</v>
      </c>
      <c r="C6" s="110"/>
      <c r="D6" s="110"/>
      <c r="E6" s="106"/>
      <c r="F6" s="106"/>
      <c r="G6" s="111"/>
      <c r="H6" s="111"/>
      <c r="I6" s="111"/>
      <c r="J6" s="112">
        <f>H79</f>
        <v>9488500</v>
      </c>
    </row>
    <row r="7" spans="1:10" x14ac:dyDescent="0.2">
      <c r="A7" s="115" t="s">
        <v>260</v>
      </c>
      <c r="B7" s="116" t="s">
        <v>261</v>
      </c>
      <c r="C7" s="116"/>
      <c r="D7" s="116" t="s">
        <v>821</v>
      </c>
      <c r="E7" s="116"/>
      <c r="F7" s="117"/>
      <c r="G7" s="117"/>
      <c r="H7" s="117"/>
      <c r="I7" s="117"/>
      <c r="J7" s="118"/>
    </row>
    <row r="8" spans="1:10" ht="15" thickBot="1" x14ac:dyDescent="0.25">
      <c r="A8" s="119" t="s">
        <v>263</v>
      </c>
      <c r="B8" s="121" t="s">
        <v>822</v>
      </c>
      <c r="C8" s="121"/>
      <c r="D8" s="121"/>
      <c r="E8" s="121"/>
      <c r="F8" s="123"/>
      <c r="G8" s="123"/>
      <c r="H8" s="123"/>
      <c r="I8" s="123"/>
      <c r="J8" s="124"/>
    </row>
    <row r="9" spans="1:10" ht="15" x14ac:dyDescent="0.2">
      <c r="A9" s="445"/>
      <c r="B9" s="446"/>
      <c r="C9" s="446"/>
      <c r="D9" s="446"/>
      <c r="E9" s="446"/>
      <c r="F9" s="446"/>
      <c r="G9" s="446"/>
      <c r="H9" s="446"/>
      <c r="I9" s="446"/>
      <c r="J9" s="447"/>
    </row>
    <row r="10" spans="1:10" ht="10.5" customHeight="1" x14ac:dyDescent="0.2">
      <c r="A10" s="128" t="s">
        <v>265</v>
      </c>
      <c r="B10" s="128"/>
      <c r="C10" s="128"/>
      <c r="D10" s="128"/>
      <c r="E10" s="128"/>
      <c r="F10" s="128"/>
      <c r="G10" s="128"/>
      <c r="H10" s="128"/>
      <c r="I10" s="128"/>
      <c r="J10" s="128"/>
    </row>
    <row r="11" spans="1:10" s="367" customFormat="1" ht="24" customHeight="1" x14ac:dyDescent="0.2">
      <c r="A11" s="188" t="s">
        <v>1248</v>
      </c>
      <c r="B11" s="188"/>
      <c r="C11" s="188"/>
      <c r="D11" s="188"/>
      <c r="E11" s="188"/>
      <c r="F11" s="188"/>
      <c r="G11" s="188"/>
      <c r="H11" s="188"/>
      <c r="I11" s="188"/>
      <c r="J11" s="188"/>
    </row>
    <row r="12" spans="1:10" s="367" customFormat="1" ht="24" customHeight="1" x14ac:dyDescent="0.2">
      <c r="A12" s="188" t="s">
        <v>1249</v>
      </c>
      <c r="B12" s="188"/>
      <c r="C12" s="188"/>
      <c r="D12" s="188"/>
      <c r="E12" s="188"/>
      <c r="F12" s="188"/>
      <c r="G12" s="188"/>
      <c r="H12" s="188"/>
      <c r="I12" s="188"/>
      <c r="J12" s="188"/>
    </row>
    <row r="13" spans="1:10" s="367" customFormat="1" x14ac:dyDescent="0.2">
      <c r="A13" s="188" t="s">
        <v>1250</v>
      </c>
      <c r="B13" s="188"/>
      <c r="C13" s="188"/>
      <c r="D13" s="188"/>
      <c r="E13" s="188"/>
      <c r="F13" s="188"/>
      <c r="G13" s="188"/>
      <c r="H13" s="188"/>
      <c r="I13" s="188"/>
      <c r="J13" s="188"/>
    </row>
    <row r="14" spans="1:10" s="367" customFormat="1" x14ac:dyDescent="0.2">
      <c r="A14" s="188" t="s">
        <v>1251</v>
      </c>
      <c r="B14" s="188"/>
      <c r="C14" s="188"/>
      <c r="D14" s="188"/>
      <c r="E14" s="188"/>
      <c r="F14" s="188"/>
      <c r="G14" s="188"/>
      <c r="H14" s="188"/>
      <c r="I14" s="188"/>
      <c r="J14" s="188"/>
    </row>
    <row r="15" spans="1:10" s="367" customFormat="1" x14ac:dyDescent="0.2">
      <c r="A15" s="188" t="s">
        <v>1252</v>
      </c>
      <c r="B15" s="188"/>
      <c r="C15" s="188"/>
      <c r="D15" s="188"/>
      <c r="E15" s="188"/>
      <c r="F15" s="188"/>
      <c r="G15" s="188"/>
      <c r="H15" s="188"/>
      <c r="I15" s="188"/>
      <c r="J15" s="188"/>
    </row>
    <row r="16" spans="1:10" s="367" customFormat="1" x14ac:dyDescent="0.2">
      <c r="A16" s="188" t="s">
        <v>1253</v>
      </c>
      <c r="B16" s="188"/>
      <c r="C16" s="188"/>
      <c r="D16" s="188"/>
      <c r="E16" s="188"/>
      <c r="F16" s="188"/>
      <c r="G16" s="188"/>
      <c r="H16" s="188"/>
      <c r="I16" s="188"/>
      <c r="J16" s="188"/>
    </row>
    <row r="17" spans="1:10" s="367" customFormat="1" x14ac:dyDescent="0.2">
      <c r="A17" s="188" t="s">
        <v>1254</v>
      </c>
      <c r="B17" s="188"/>
      <c r="C17" s="188"/>
      <c r="D17" s="188"/>
      <c r="E17" s="188"/>
      <c r="F17" s="188"/>
      <c r="G17" s="188"/>
      <c r="H17" s="188"/>
      <c r="I17" s="188"/>
      <c r="J17" s="188"/>
    </row>
    <row r="18" spans="1:10" s="367" customFormat="1" x14ac:dyDescent="0.2">
      <c r="A18" s="188" t="s">
        <v>1255</v>
      </c>
      <c r="B18" s="188"/>
      <c r="C18" s="188"/>
      <c r="D18" s="188"/>
      <c r="E18" s="188"/>
      <c r="F18" s="188"/>
      <c r="G18" s="188"/>
      <c r="H18" s="188"/>
      <c r="I18" s="188"/>
      <c r="J18" s="188"/>
    </row>
    <row r="19" spans="1:10" s="367" customFormat="1" ht="24" customHeight="1" x14ac:dyDescent="0.2">
      <c r="A19" s="188" t="s">
        <v>1256</v>
      </c>
      <c r="B19" s="188"/>
      <c r="C19" s="188"/>
      <c r="D19" s="188"/>
      <c r="E19" s="188"/>
      <c r="F19" s="188"/>
      <c r="G19" s="188"/>
      <c r="H19" s="188"/>
      <c r="I19" s="188"/>
      <c r="J19" s="188"/>
    </row>
    <row r="20" spans="1:10" s="367" customFormat="1" x14ac:dyDescent="0.2">
      <c r="A20" s="188" t="s">
        <v>1257</v>
      </c>
      <c r="B20" s="188"/>
      <c r="C20" s="188"/>
      <c r="D20" s="188"/>
      <c r="E20" s="188"/>
      <c r="F20" s="188"/>
      <c r="G20" s="188"/>
      <c r="H20" s="188"/>
      <c r="I20" s="188"/>
      <c r="J20" s="188"/>
    </row>
    <row r="21" spans="1:10" s="367" customFormat="1" x14ac:dyDescent="0.2">
      <c r="A21" s="188" t="s">
        <v>1258</v>
      </c>
      <c r="B21" s="188"/>
      <c r="C21" s="188"/>
      <c r="D21" s="188"/>
      <c r="E21" s="188"/>
      <c r="F21" s="188"/>
      <c r="G21" s="188"/>
      <c r="H21" s="188"/>
      <c r="I21" s="188"/>
      <c r="J21" s="188"/>
    </row>
    <row r="22" spans="1:10" s="367" customFormat="1" x14ac:dyDescent="0.2">
      <c r="A22" s="188" t="s">
        <v>1259</v>
      </c>
      <c r="B22" s="188"/>
      <c r="C22" s="188"/>
      <c r="D22" s="188"/>
      <c r="E22" s="188"/>
      <c r="F22" s="188"/>
      <c r="G22" s="188"/>
      <c r="H22" s="188"/>
      <c r="I22" s="188"/>
      <c r="J22" s="188"/>
    </row>
    <row r="23" spans="1:10" s="367" customFormat="1" x14ac:dyDescent="0.2">
      <c r="A23" s="188"/>
      <c r="B23" s="188"/>
      <c r="C23" s="188"/>
      <c r="D23" s="188"/>
      <c r="E23" s="188"/>
      <c r="F23" s="188"/>
      <c r="G23" s="188"/>
      <c r="H23" s="188"/>
      <c r="I23" s="188"/>
      <c r="J23" s="188"/>
    </row>
    <row r="24" spans="1:10" s="367" customFormat="1" x14ac:dyDescent="0.2">
      <c r="A24" s="128" t="s">
        <v>267</v>
      </c>
      <c r="B24" s="128"/>
      <c r="C24" s="128"/>
      <c r="D24" s="128"/>
      <c r="E24" s="128"/>
      <c r="F24" s="128"/>
      <c r="G24" s="128"/>
      <c r="H24" s="128"/>
      <c r="I24" s="128"/>
      <c r="J24" s="128"/>
    </row>
    <row r="25" spans="1:10" s="367" customFormat="1" x14ac:dyDescent="0.2">
      <c r="A25" s="284" t="s">
        <v>1260</v>
      </c>
      <c r="B25" s="284"/>
      <c r="C25" s="284"/>
      <c r="D25" s="284"/>
      <c r="E25" s="284"/>
      <c r="F25" s="284"/>
      <c r="G25" s="284"/>
      <c r="H25" s="284"/>
      <c r="I25" s="284"/>
      <c r="J25" s="284"/>
    </row>
    <row r="26" spans="1:10" s="367" customFormat="1" x14ac:dyDescent="0.2">
      <c r="A26" s="448" t="s">
        <v>1261</v>
      </c>
      <c r="B26" s="448"/>
      <c r="C26" s="448"/>
      <c r="D26" s="448"/>
      <c r="E26" s="448"/>
      <c r="F26" s="448"/>
      <c r="G26" s="448"/>
      <c r="H26" s="448"/>
      <c r="I26" s="448"/>
      <c r="J26" s="448"/>
    </row>
    <row r="27" spans="1:10" s="367" customFormat="1" x14ac:dyDescent="0.2">
      <c r="A27" s="448" t="s">
        <v>1262</v>
      </c>
      <c r="B27" s="448"/>
      <c r="C27" s="448"/>
      <c r="D27" s="448"/>
      <c r="E27" s="448"/>
      <c r="F27" s="448"/>
      <c r="G27" s="448"/>
      <c r="H27" s="448"/>
      <c r="I27" s="448"/>
      <c r="J27" s="448"/>
    </row>
    <row r="28" spans="1:10" s="367" customFormat="1" x14ac:dyDescent="0.2">
      <c r="A28" s="448" t="s">
        <v>1263</v>
      </c>
      <c r="B28" s="448"/>
      <c r="C28" s="448"/>
      <c r="D28" s="448"/>
      <c r="E28" s="448"/>
      <c r="F28" s="448"/>
      <c r="G28" s="448"/>
      <c r="H28" s="448"/>
      <c r="I28" s="448"/>
      <c r="J28" s="448"/>
    </row>
    <row r="29" spans="1:10" s="367" customFormat="1" x14ac:dyDescent="0.2">
      <c r="A29" s="448" t="s">
        <v>1264</v>
      </c>
      <c r="B29" s="448"/>
      <c r="C29" s="448"/>
      <c r="D29" s="448"/>
      <c r="E29" s="448"/>
      <c r="F29" s="448"/>
      <c r="G29" s="448"/>
      <c r="H29" s="448"/>
      <c r="I29" s="448"/>
      <c r="J29" s="448"/>
    </row>
    <row r="30" spans="1:10" s="367" customFormat="1" x14ac:dyDescent="0.2">
      <c r="A30" s="448" t="s">
        <v>1265</v>
      </c>
      <c r="B30" s="448"/>
      <c r="C30" s="448"/>
      <c r="D30" s="448"/>
      <c r="E30" s="448"/>
      <c r="F30" s="448"/>
      <c r="G30" s="448"/>
      <c r="H30" s="448"/>
      <c r="I30" s="448"/>
      <c r="J30" s="448"/>
    </row>
    <row r="31" spans="1:10" ht="10.5" customHeight="1" x14ac:dyDescent="0.2">
      <c r="A31" s="129"/>
      <c r="B31" s="129"/>
      <c r="C31" s="129"/>
      <c r="D31" s="129"/>
      <c r="E31" s="129"/>
      <c r="F31" s="129"/>
      <c r="G31" s="129"/>
      <c r="H31" s="129"/>
      <c r="I31" s="129"/>
      <c r="J31" s="129"/>
    </row>
    <row r="32" spans="1:10" ht="11.25" customHeight="1" x14ac:dyDescent="0.2">
      <c r="A32" s="128" t="s">
        <v>269</v>
      </c>
      <c r="B32" s="128"/>
      <c r="C32" s="128"/>
      <c r="D32" s="128"/>
      <c r="E32" s="128"/>
      <c r="F32" s="128"/>
      <c r="G32" s="128"/>
      <c r="H32" s="128"/>
      <c r="I32" s="128"/>
      <c r="J32" s="128"/>
    </row>
    <row r="33" spans="1:10" ht="21.75" customHeight="1" x14ac:dyDescent="0.2">
      <c r="A33" s="284" t="s">
        <v>1266</v>
      </c>
      <c r="B33" s="284"/>
      <c r="C33" s="284"/>
      <c r="D33" s="284"/>
      <c r="E33" s="284"/>
      <c r="F33" s="284"/>
      <c r="G33" s="284"/>
      <c r="H33" s="284"/>
      <c r="I33" s="284"/>
      <c r="J33" s="284"/>
    </row>
    <row r="34" spans="1:10" ht="11.25" customHeight="1" x14ac:dyDescent="0.2">
      <c r="A34" s="128" t="s">
        <v>272</v>
      </c>
      <c r="B34" s="128"/>
      <c r="C34" s="128"/>
      <c r="D34" s="128"/>
      <c r="E34" s="128"/>
      <c r="F34" s="128"/>
      <c r="G34" s="128"/>
      <c r="H34" s="128"/>
      <c r="I34" s="128"/>
      <c r="J34" s="128"/>
    </row>
    <row r="35" spans="1:10" ht="22.9" customHeight="1" x14ac:dyDescent="0.2">
      <c r="A35" s="188" t="s">
        <v>1267</v>
      </c>
      <c r="B35" s="188"/>
      <c r="C35" s="188"/>
      <c r="D35" s="188"/>
      <c r="E35" s="188"/>
      <c r="F35" s="188"/>
      <c r="G35" s="188"/>
      <c r="H35" s="188"/>
      <c r="I35" s="188"/>
      <c r="J35" s="188"/>
    </row>
    <row r="36" spans="1:10" ht="12" customHeight="1" x14ac:dyDescent="0.2">
      <c r="A36" s="128" t="s">
        <v>275</v>
      </c>
      <c r="B36" s="128"/>
      <c r="C36" s="128"/>
      <c r="D36" s="128"/>
      <c r="E36" s="128"/>
      <c r="F36" s="128"/>
      <c r="G36" s="128"/>
      <c r="H36" s="128"/>
      <c r="I36" s="128"/>
      <c r="J36" s="128"/>
    </row>
    <row r="37" spans="1:10" ht="33.75" x14ac:dyDescent="0.2">
      <c r="A37" s="130" t="s">
        <v>243</v>
      </c>
      <c r="B37" s="131" t="s">
        <v>242</v>
      </c>
      <c r="C37" s="131"/>
      <c r="D37" s="131"/>
      <c r="E37" s="132" t="str">
        <f>Summary!$G$25</f>
        <v>Actuals           2014-2015</v>
      </c>
      <c r="F37" s="132" t="str">
        <f>Summary!$H$25</f>
        <v>Approved Estimates          2015-2016</v>
      </c>
      <c r="G37" s="132" t="str">
        <f>Summary!$I$25</f>
        <v>Revised Estimates                 2015-2016</v>
      </c>
      <c r="H37" s="132" t="str">
        <f>Summary!$J$25</f>
        <v>Budget Estimates      2016-2017</v>
      </c>
      <c r="I37" s="132" t="str">
        <f>Summary!$K$25</f>
        <v>Forward Estimates     2017-2018</v>
      </c>
      <c r="J37" s="132" t="str">
        <f>Summary!$L$25</f>
        <v>Forward Estimates     2018-2019</v>
      </c>
    </row>
    <row r="38" spans="1:10" ht="12" customHeight="1" x14ac:dyDescent="0.2">
      <c r="A38" s="128" t="s">
        <v>276</v>
      </c>
      <c r="B38" s="128"/>
      <c r="C38" s="128"/>
      <c r="D38" s="128"/>
      <c r="E38" s="128"/>
      <c r="F38" s="128"/>
      <c r="G38" s="128"/>
      <c r="H38" s="128"/>
      <c r="I38" s="128"/>
      <c r="J38" s="128"/>
    </row>
    <row r="39" spans="1:10" x14ac:dyDescent="0.2">
      <c r="A39" s="207">
        <v>300</v>
      </c>
      <c r="B39" s="129" t="s">
        <v>501</v>
      </c>
      <c r="C39" s="129"/>
      <c r="D39" s="129"/>
      <c r="E39" s="211">
        <f t="shared" ref="E39:J39" si="0">E94</f>
        <v>599039.62</v>
      </c>
      <c r="F39" s="209">
        <f t="shared" si="0"/>
        <v>318000</v>
      </c>
      <c r="G39" s="211">
        <f t="shared" si="0"/>
        <v>189900</v>
      </c>
      <c r="H39" s="210">
        <f t="shared" si="0"/>
        <v>318000</v>
      </c>
      <c r="I39" s="211">
        <f t="shared" si="0"/>
        <v>318000</v>
      </c>
      <c r="J39" s="211">
        <f t="shared" si="0"/>
        <v>318000</v>
      </c>
    </row>
    <row r="40" spans="1:10" x14ac:dyDescent="0.2">
      <c r="A40" s="207">
        <v>301</v>
      </c>
      <c r="B40" s="129" t="s">
        <v>1268</v>
      </c>
      <c r="C40" s="129"/>
      <c r="D40" s="129"/>
      <c r="E40" s="211">
        <f t="shared" ref="E40:J40" si="1">E178</f>
        <v>48883.689999999988</v>
      </c>
      <c r="F40" s="209">
        <f t="shared" si="1"/>
        <v>49000</v>
      </c>
      <c r="G40" s="211">
        <f t="shared" si="1"/>
        <v>45300</v>
      </c>
      <c r="H40" s="210">
        <f t="shared" si="1"/>
        <v>69000</v>
      </c>
      <c r="I40" s="211">
        <f t="shared" si="1"/>
        <v>69000</v>
      </c>
      <c r="J40" s="211">
        <f t="shared" si="1"/>
        <v>69000</v>
      </c>
    </row>
    <row r="41" spans="1:10" x14ac:dyDescent="0.2">
      <c r="A41" s="207">
        <v>302</v>
      </c>
      <c r="B41" s="129" t="s">
        <v>1269</v>
      </c>
      <c r="C41" s="129"/>
      <c r="D41" s="129"/>
      <c r="E41" s="211">
        <f t="shared" ref="E41:J41" si="2">E254</f>
        <v>814978.96000000008</v>
      </c>
      <c r="F41" s="209">
        <f t="shared" si="2"/>
        <v>612000</v>
      </c>
      <c r="G41" s="211">
        <f t="shared" si="2"/>
        <v>495100</v>
      </c>
      <c r="H41" s="210">
        <f t="shared" si="2"/>
        <v>624000</v>
      </c>
      <c r="I41" s="211">
        <f t="shared" si="2"/>
        <v>624000</v>
      </c>
      <c r="J41" s="211">
        <f t="shared" si="2"/>
        <v>624000</v>
      </c>
    </row>
    <row r="42" spans="1:10" x14ac:dyDescent="0.2">
      <c r="A42" s="207">
        <v>303</v>
      </c>
      <c r="B42" s="129" t="s">
        <v>1270</v>
      </c>
      <c r="C42" s="129"/>
      <c r="D42" s="129"/>
      <c r="E42" s="211">
        <f t="shared" ref="E42:J42" si="3">E323</f>
        <v>54135</v>
      </c>
      <c r="F42" s="209">
        <f t="shared" si="3"/>
        <v>43000</v>
      </c>
      <c r="G42" s="211">
        <f t="shared" si="3"/>
        <v>48600</v>
      </c>
      <c r="H42" s="210">
        <f t="shared" si="3"/>
        <v>55200</v>
      </c>
      <c r="I42" s="211">
        <f t="shared" si="3"/>
        <v>55200</v>
      </c>
      <c r="J42" s="211">
        <f t="shared" si="3"/>
        <v>55300</v>
      </c>
    </row>
    <row r="43" spans="1:10" ht="12.6" customHeight="1" x14ac:dyDescent="0.2">
      <c r="A43" s="207">
        <v>304</v>
      </c>
      <c r="B43" s="129" t="s">
        <v>1271</v>
      </c>
      <c r="C43" s="129"/>
      <c r="D43" s="129"/>
      <c r="E43" s="211">
        <f t="shared" ref="E43:J43" si="4">E391</f>
        <v>0</v>
      </c>
      <c r="F43" s="209">
        <f t="shared" si="4"/>
        <v>0</v>
      </c>
      <c r="G43" s="211">
        <f t="shared" si="4"/>
        <v>0</v>
      </c>
      <c r="H43" s="210">
        <f t="shared" si="4"/>
        <v>0</v>
      </c>
      <c r="I43" s="211">
        <f t="shared" si="4"/>
        <v>0</v>
      </c>
      <c r="J43" s="211">
        <f t="shared" si="4"/>
        <v>0</v>
      </c>
    </row>
    <row r="44" spans="1:10" ht="12.6" customHeight="1" x14ac:dyDescent="0.2">
      <c r="A44" s="207">
        <v>305</v>
      </c>
      <c r="B44" s="129" t="s">
        <v>1272</v>
      </c>
      <c r="C44" s="129"/>
      <c r="D44" s="129"/>
      <c r="E44" s="211">
        <f t="shared" ref="E44:J44" si="5">E458</f>
        <v>0</v>
      </c>
      <c r="F44" s="209">
        <f t="shared" si="5"/>
        <v>0</v>
      </c>
      <c r="G44" s="211">
        <f t="shared" si="5"/>
        <v>0</v>
      </c>
      <c r="H44" s="210">
        <f t="shared" si="5"/>
        <v>0</v>
      </c>
      <c r="I44" s="211">
        <f t="shared" si="5"/>
        <v>0</v>
      </c>
      <c r="J44" s="211">
        <f t="shared" si="5"/>
        <v>0</v>
      </c>
    </row>
    <row r="45" spans="1:10" x14ac:dyDescent="0.2">
      <c r="A45" s="207">
        <v>306</v>
      </c>
      <c r="B45" s="129" t="s">
        <v>1273</v>
      </c>
      <c r="C45" s="129"/>
      <c r="D45" s="129"/>
      <c r="E45" s="211">
        <f t="shared" ref="E45:J45" si="6">E525</f>
        <v>0</v>
      </c>
      <c r="F45" s="209">
        <f t="shared" si="6"/>
        <v>7400</v>
      </c>
      <c r="G45" s="211">
        <f t="shared" si="6"/>
        <v>1200</v>
      </c>
      <c r="H45" s="210">
        <f t="shared" si="6"/>
        <v>7400</v>
      </c>
      <c r="I45" s="211">
        <f t="shared" si="6"/>
        <v>7400</v>
      </c>
      <c r="J45" s="211">
        <f t="shared" si="6"/>
        <v>7400</v>
      </c>
    </row>
    <row r="46" spans="1:10" ht="12.75" customHeight="1" x14ac:dyDescent="0.2">
      <c r="A46" s="137" t="s">
        <v>1274</v>
      </c>
      <c r="B46" s="137"/>
      <c r="C46" s="137"/>
      <c r="D46" s="137"/>
      <c r="E46" s="138">
        <f t="shared" ref="E46:J46" si="7">SUM(E39:E45)</f>
        <v>1517037.27</v>
      </c>
      <c r="F46" s="138">
        <f t="shared" si="7"/>
        <v>1029400</v>
      </c>
      <c r="G46" s="138">
        <f t="shared" si="7"/>
        <v>780100</v>
      </c>
      <c r="H46" s="138">
        <f t="shared" si="7"/>
        <v>1073600</v>
      </c>
      <c r="I46" s="138">
        <f t="shared" si="7"/>
        <v>1073600</v>
      </c>
      <c r="J46" s="138">
        <f t="shared" si="7"/>
        <v>1073700</v>
      </c>
    </row>
    <row r="47" spans="1:10" ht="8.25" customHeight="1" x14ac:dyDescent="0.2">
      <c r="A47" s="129"/>
      <c r="B47" s="129"/>
      <c r="C47" s="129"/>
      <c r="D47" s="129"/>
      <c r="E47" s="129"/>
      <c r="F47" s="129"/>
      <c r="G47" s="129"/>
      <c r="H47" s="129"/>
      <c r="I47" s="129"/>
      <c r="J47" s="129"/>
    </row>
    <row r="48" spans="1:10" ht="11.25" customHeight="1" x14ac:dyDescent="0.2">
      <c r="A48" s="128" t="s">
        <v>281</v>
      </c>
      <c r="B48" s="128"/>
      <c r="C48" s="128"/>
      <c r="D48" s="128"/>
      <c r="E48" s="128"/>
      <c r="F48" s="128"/>
      <c r="G48" s="128"/>
      <c r="H48" s="128"/>
      <c r="I48" s="128"/>
      <c r="J48" s="128"/>
    </row>
    <row r="49" spans="1:10" x14ac:dyDescent="0.2">
      <c r="A49" s="207">
        <v>300</v>
      </c>
      <c r="B49" s="129" t="s">
        <v>501</v>
      </c>
      <c r="C49" s="129"/>
      <c r="D49" s="129"/>
      <c r="E49" s="211">
        <f t="shared" ref="E49:J49" si="8">E118+E131</f>
        <v>2711590.7800000003</v>
      </c>
      <c r="F49" s="209">
        <f t="shared" si="8"/>
        <v>4023300</v>
      </c>
      <c r="G49" s="211">
        <f t="shared" si="8"/>
        <v>6352400</v>
      </c>
      <c r="H49" s="210">
        <f t="shared" si="8"/>
        <v>4731500</v>
      </c>
      <c r="I49" s="211">
        <f t="shared" si="8"/>
        <v>2968700</v>
      </c>
      <c r="J49" s="211">
        <f t="shared" si="8"/>
        <v>1676900</v>
      </c>
    </row>
    <row r="50" spans="1:10" x14ac:dyDescent="0.2">
      <c r="A50" s="207">
        <v>301</v>
      </c>
      <c r="B50" s="129" t="s">
        <v>1268</v>
      </c>
      <c r="C50" s="129"/>
      <c r="D50" s="129"/>
      <c r="E50" s="211">
        <f t="shared" ref="E50:J50" si="9">E196+E203</f>
        <v>1453525.54</v>
      </c>
      <c r="F50" s="209">
        <f t="shared" si="9"/>
        <v>1701700</v>
      </c>
      <c r="G50" s="211">
        <f t="shared" si="9"/>
        <v>1615800</v>
      </c>
      <c r="H50" s="210">
        <f t="shared" si="9"/>
        <v>1678000</v>
      </c>
      <c r="I50" s="211">
        <f t="shared" si="9"/>
        <v>1697500</v>
      </c>
      <c r="J50" s="211">
        <f t="shared" si="9"/>
        <v>1693000</v>
      </c>
    </row>
    <row r="51" spans="1:10" x14ac:dyDescent="0.2">
      <c r="A51" s="207">
        <v>302</v>
      </c>
      <c r="B51" s="129" t="s">
        <v>1269</v>
      </c>
      <c r="C51" s="129"/>
      <c r="D51" s="129"/>
      <c r="E51" s="211">
        <f t="shared" ref="E51:J51" si="10">E273+E281</f>
        <v>508021.33</v>
      </c>
      <c r="F51" s="209">
        <f t="shared" si="10"/>
        <v>765600</v>
      </c>
      <c r="G51" s="211">
        <f t="shared" si="10"/>
        <v>735100</v>
      </c>
      <c r="H51" s="210">
        <f t="shared" si="10"/>
        <v>702100</v>
      </c>
      <c r="I51" s="211">
        <f t="shared" si="10"/>
        <v>785200</v>
      </c>
      <c r="J51" s="211">
        <f t="shared" si="10"/>
        <v>795500</v>
      </c>
    </row>
    <row r="52" spans="1:10" x14ac:dyDescent="0.2">
      <c r="A52" s="207">
        <v>303</v>
      </c>
      <c r="B52" s="129" t="s">
        <v>1270</v>
      </c>
      <c r="C52" s="129"/>
      <c r="D52" s="129"/>
      <c r="E52" s="211">
        <f t="shared" ref="E52:J52" si="11">E341+E347</f>
        <v>485943.09</v>
      </c>
      <c r="F52" s="209">
        <f t="shared" si="11"/>
        <v>594000</v>
      </c>
      <c r="G52" s="211">
        <f t="shared" si="11"/>
        <v>591000</v>
      </c>
      <c r="H52" s="210">
        <f t="shared" si="11"/>
        <v>651000</v>
      </c>
      <c r="I52" s="211">
        <f t="shared" si="11"/>
        <v>674000</v>
      </c>
      <c r="J52" s="211">
        <f t="shared" si="11"/>
        <v>683300</v>
      </c>
    </row>
    <row r="53" spans="1:10" x14ac:dyDescent="0.2">
      <c r="A53" s="207">
        <v>304</v>
      </c>
      <c r="B53" s="129" t="s">
        <v>1271</v>
      </c>
      <c r="C53" s="129"/>
      <c r="D53" s="129"/>
      <c r="E53" s="211">
        <f t="shared" ref="E53:J53" si="12">E409+E415</f>
        <v>888811.44</v>
      </c>
      <c r="F53" s="209">
        <f t="shared" si="12"/>
        <v>869900</v>
      </c>
      <c r="G53" s="211">
        <f t="shared" si="12"/>
        <v>869900</v>
      </c>
      <c r="H53" s="210">
        <f t="shared" si="12"/>
        <v>946300</v>
      </c>
      <c r="I53" s="211">
        <f t="shared" si="12"/>
        <v>983100</v>
      </c>
      <c r="J53" s="211">
        <f t="shared" si="12"/>
        <v>952500</v>
      </c>
    </row>
    <row r="54" spans="1:10" x14ac:dyDescent="0.2">
      <c r="A54" s="207">
        <v>305</v>
      </c>
      <c r="B54" s="129" t="s">
        <v>1272</v>
      </c>
      <c r="C54" s="129"/>
      <c r="D54" s="129"/>
      <c r="E54" s="211">
        <f t="shared" ref="E54:J54" si="13">E475+E482</f>
        <v>409829</v>
      </c>
      <c r="F54" s="209">
        <f t="shared" si="13"/>
        <v>580600</v>
      </c>
      <c r="G54" s="211">
        <f t="shared" si="13"/>
        <v>505300</v>
      </c>
      <c r="H54" s="210">
        <f t="shared" si="13"/>
        <v>566800</v>
      </c>
      <c r="I54" s="211">
        <f t="shared" si="13"/>
        <v>595600</v>
      </c>
      <c r="J54" s="211">
        <f t="shared" si="13"/>
        <v>601000</v>
      </c>
    </row>
    <row r="55" spans="1:10" x14ac:dyDescent="0.2">
      <c r="A55" s="207">
        <v>306</v>
      </c>
      <c r="B55" s="129" t="s">
        <v>1273</v>
      </c>
      <c r="C55" s="129"/>
      <c r="D55" s="129"/>
      <c r="E55" s="211">
        <f t="shared" ref="E55:J55" si="14">E542+E549</f>
        <v>0</v>
      </c>
      <c r="F55" s="209">
        <f t="shared" si="14"/>
        <v>176300</v>
      </c>
      <c r="G55" s="211">
        <f t="shared" si="14"/>
        <v>152700</v>
      </c>
      <c r="H55" s="210">
        <f t="shared" si="14"/>
        <v>212800</v>
      </c>
      <c r="I55" s="211">
        <f t="shared" si="14"/>
        <v>244600</v>
      </c>
      <c r="J55" s="211">
        <f t="shared" si="14"/>
        <v>247800</v>
      </c>
    </row>
    <row r="56" spans="1:10" ht="11.25" customHeight="1" x14ac:dyDescent="0.2">
      <c r="A56" s="139" t="s">
        <v>1275</v>
      </c>
      <c r="B56" s="139"/>
      <c r="C56" s="139"/>
      <c r="D56" s="139"/>
      <c r="E56" s="140">
        <f t="shared" ref="E56:J56" si="15">SUM(E49:E55)</f>
        <v>6457721.1799999997</v>
      </c>
      <c r="F56" s="140">
        <f t="shared" si="15"/>
        <v>8711400</v>
      </c>
      <c r="G56" s="140">
        <f t="shared" si="15"/>
        <v>10822200</v>
      </c>
      <c r="H56" s="140">
        <f t="shared" si="15"/>
        <v>9488500</v>
      </c>
      <c r="I56" s="140">
        <f t="shared" si="15"/>
        <v>7948700</v>
      </c>
      <c r="J56" s="140">
        <f t="shared" si="15"/>
        <v>6650000</v>
      </c>
    </row>
    <row r="57" spans="1:10" ht="15" customHeight="1" x14ac:dyDescent="0.2">
      <c r="A57" s="151"/>
      <c r="B57" s="151"/>
      <c r="C57" s="151"/>
      <c r="D57" s="151"/>
      <c r="E57" s="261"/>
      <c r="F57" s="286"/>
      <c r="G57" s="261"/>
      <c r="H57" s="303"/>
      <c r="I57" s="261"/>
      <c r="J57" s="261"/>
    </row>
    <row r="58" spans="1:10" x14ac:dyDescent="0.2">
      <c r="A58" s="141" t="s">
        <v>283</v>
      </c>
      <c r="B58" s="141"/>
      <c r="C58" s="141"/>
      <c r="D58" s="141"/>
      <c r="E58" s="141"/>
      <c r="F58" s="141"/>
      <c r="G58" s="141"/>
      <c r="H58" s="141"/>
      <c r="I58" s="141"/>
      <c r="J58" s="141"/>
    </row>
    <row r="59" spans="1:10" x14ac:dyDescent="0.2">
      <c r="A59" s="131" t="s">
        <v>284</v>
      </c>
      <c r="B59" s="131"/>
      <c r="C59" s="131"/>
      <c r="D59" s="131"/>
      <c r="E59" s="131"/>
      <c r="F59" s="131"/>
      <c r="G59" s="131"/>
      <c r="H59" s="131"/>
      <c r="I59" s="131"/>
      <c r="J59" s="131"/>
    </row>
    <row r="60" spans="1:10" x14ac:dyDescent="0.2">
      <c r="A60" s="207"/>
      <c r="B60" s="129" t="s">
        <v>7</v>
      </c>
      <c r="C60" s="129"/>
      <c r="D60" s="129"/>
      <c r="E60" s="211">
        <f t="shared" ref="E60:J60" si="16">E595</f>
        <v>3016365.95</v>
      </c>
      <c r="F60" s="209">
        <f t="shared" si="16"/>
        <v>3606000</v>
      </c>
      <c r="G60" s="211">
        <f t="shared" si="16"/>
        <v>3559400</v>
      </c>
      <c r="H60" s="210">
        <f t="shared" si="16"/>
        <v>3613700</v>
      </c>
      <c r="I60" s="211">
        <f t="shared" si="16"/>
        <v>3865900</v>
      </c>
      <c r="J60" s="211">
        <f t="shared" si="16"/>
        <v>3919700</v>
      </c>
    </row>
    <row r="61" spans="1:10" x14ac:dyDescent="0.2">
      <c r="A61" s="207"/>
      <c r="B61" s="129" t="s">
        <v>196</v>
      </c>
      <c r="C61" s="129"/>
      <c r="D61" s="129"/>
      <c r="E61" s="211">
        <f t="shared" ref="E61:J61" si="17">E604</f>
        <v>15506.4</v>
      </c>
      <c r="F61" s="209">
        <f t="shared" si="17"/>
        <v>15600</v>
      </c>
      <c r="G61" s="211">
        <f t="shared" si="17"/>
        <v>17400</v>
      </c>
      <c r="H61" s="210">
        <f t="shared" si="17"/>
        <v>19200</v>
      </c>
      <c r="I61" s="211">
        <f t="shared" si="17"/>
        <v>19200</v>
      </c>
      <c r="J61" s="211">
        <f t="shared" si="17"/>
        <v>19200</v>
      </c>
    </row>
    <row r="62" spans="1:10" x14ac:dyDescent="0.2">
      <c r="A62" s="207"/>
      <c r="B62" s="129" t="s">
        <v>285</v>
      </c>
      <c r="C62" s="129"/>
      <c r="D62" s="129"/>
      <c r="E62" s="211">
        <f t="shared" ref="E62:J62" si="18">E613</f>
        <v>450661</v>
      </c>
      <c r="F62" s="209">
        <f t="shared" si="18"/>
        <v>582800</v>
      </c>
      <c r="G62" s="211">
        <f t="shared" si="18"/>
        <v>572300</v>
      </c>
      <c r="H62" s="210">
        <f t="shared" si="18"/>
        <v>638200</v>
      </c>
      <c r="I62" s="211">
        <f t="shared" si="18"/>
        <v>645700</v>
      </c>
      <c r="J62" s="211">
        <f t="shared" si="18"/>
        <v>632400</v>
      </c>
    </row>
    <row r="63" spans="1:10" x14ac:dyDescent="0.2">
      <c r="A63" s="207"/>
      <c r="B63" s="129" t="s">
        <v>198</v>
      </c>
      <c r="C63" s="129"/>
      <c r="D63" s="129"/>
      <c r="E63" s="211">
        <f t="shared" ref="E63:J63" si="19">E622</f>
        <v>18285</v>
      </c>
      <c r="F63" s="209">
        <f t="shared" si="19"/>
        <v>33600</v>
      </c>
      <c r="G63" s="211">
        <f t="shared" si="19"/>
        <v>39200</v>
      </c>
      <c r="H63" s="210">
        <f t="shared" si="19"/>
        <v>36200</v>
      </c>
      <c r="I63" s="211">
        <f t="shared" si="19"/>
        <v>46900</v>
      </c>
      <c r="J63" s="211">
        <f t="shared" si="19"/>
        <v>6900</v>
      </c>
    </row>
    <row r="64" spans="1:10" x14ac:dyDescent="0.2">
      <c r="A64" s="207"/>
      <c r="B64" s="129" t="s">
        <v>286</v>
      </c>
      <c r="C64" s="129"/>
      <c r="D64" s="129"/>
      <c r="E64" s="211">
        <f t="shared" ref="E64:J64" si="20">E631</f>
        <v>1347956.2999999998</v>
      </c>
      <c r="F64" s="209">
        <f t="shared" si="20"/>
        <v>1765800</v>
      </c>
      <c r="G64" s="211">
        <f t="shared" si="20"/>
        <v>1497100</v>
      </c>
      <c r="H64" s="210">
        <f t="shared" si="20"/>
        <v>2110800</v>
      </c>
      <c r="I64" s="211">
        <f t="shared" si="20"/>
        <v>2071800</v>
      </c>
      <c r="J64" s="211">
        <f t="shared" si="20"/>
        <v>2071800</v>
      </c>
    </row>
    <row r="65" spans="1:10" ht="15" customHeight="1" x14ac:dyDescent="0.2">
      <c r="A65" s="139" t="s">
        <v>287</v>
      </c>
      <c r="B65" s="139"/>
      <c r="C65" s="139"/>
      <c r="D65" s="139"/>
      <c r="E65" s="140">
        <f t="shared" ref="E65:J65" si="21">SUM(E60:E64)</f>
        <v>4848774.6500000004</v>
      </c>
      <c r="F65" s="140">
        <f t="shared" si="21"/>
        <v>6003800</v>
      </c>
      <c r="G65" s="140">
        <f t="shared" si="21"/>
        <v>5685400</v>
      </c>
      <c r="H65" s="140">
        <f t="shared" si="21"/>
        <v>6418100</v>
      </c>
      <c r="I65" s="140">
        <f t="shared" si="21"/>
        <v>6649500</v>
      </c>
      <c r="J65" s="140">
        <f t="shared" si="21"/>
        <v>6650000</v>
      </c>
    </row>
    <row r="66" spans="1:10" ht="15" customHeight="1" x14ac:dyDescent="0.2">
      <c r="A66" s="129"/>
      <c r="B66" s="129"/>
      <c r="C66" s="129"/>
      <c r="D66" s="129"/>
      <c r="E66" s="129"/>
      <c r="F66" s="129"/>
      <c r="G66" s="129"/>
      <c r="H66" s="129"/>
      <c r="I66" s="129"/>
      <c r="J66" s="129"/>
    </row>
    <row r="67" spans="1:10" x14ac:dyDescent="0.2">
      <c r="A67" s="131" t="s">
        <v>15</v>
      </c>
      <c r="B67" s="131"/>
      <c r="C67" s="131"/>
      <c r="D67" s="131"/>
      <c r="E67" s="131"/>
      <c r="F67" s="131"/>
      <c r="G67" s="131"/>
      <c r="H67" s="131"/>
      <c r="I67" s="131"/>
      <c r="J67" s="131"/>
    </row>
    <row r="68" spans="1:10" ht="15" customHeight="1" x14ac:dyDescent="0.2">
      <c r="A68" s="130" t="s">
        <v>243</v>
      </c>
      <c r="B68" s="130" t="s">
        <v>244</v>
      </c>
      <c r="C68" s="374" t="s">
        <v>245</v>
      </c>
      <c r="D68" s="375"/>
      <c r="E68" s="143"/>
      <c r="F68" s="143"/>
      <c r="G68" s="143"/>
      <c r="H68" s="143"/>
      <c r="I68" s="143"/>
      <c r="J68" s="143"/>
    </row>
    <row r="69" spans="1:10" x14ac:dyDescent="0.2">
      <c r="A69" s="144" t="str">
        <f>RIGHT(A123,3)</f>
        <v>58A</v>
      </c>
      <c r="B69" s="449" t="str">
        <f t="shared" ref="B69:C76" si="22">B123</f>
        <v>OTEP</v>
      </c>
      <c r="C69" s="377" t="str">
        <f t="shared" si="22"/>
        <v>Overseas Territories Environmental</v>
      </c>
      <c r="D69" s="450"/>
      <c r="E69" s="379">
        <f t="shared" ref="E69:J76" si="23">E123</f>
        <v>0</v>
      </c>
      <c r="F69" s="209">
        <f t="shared" si="23"/>
        <v>345600</v>
      </c>
      <c r="G69" s="158">
        <f t="shared" si="23"/>
        <v>345600</v>
      </c>
      <c r="H69" s="136">
        <f t="shared" si="23"/>
        <v>0</v>
      </c>
      <c r="I69" s="158">
        <f t="shared" si="23"/>
        <v>0</v>
      </c>
      <c r="J69" s="135">
        <f t="shared" si="23"/>
        <v>0</v>
      </c>
    </row>
    <row r="70" spans="1:10" x14ac:dyDescent="0.2">
      <c r="A70" s="144" t="str">
        <f>RIGHT(A124,3)</f>
        <v>60A</v>
      </c>
      <c r="B70" s="449" t="str">
        <f t="shared" si="22"/>
        <v>DARWIN</v>
      </c>
      <c r="C70" s="377" t="str">
        <f t="shared" si="22"/>
        <v>DARWIN Initiatives Post Project</v>
      </c>
      <c r="D70" s="450"/>
      <c r="E70" s="379">
        <f t="shared" si="23"/>
        <v>186734.07</v>
      </c>
      <c r="F70" s="209">
        <f t="shared" si="23"/>
        <v>362000</v>
      </c>
      <c r="G70" s="158">
        <f t="shared" si="23"/>
        <v>362000</v>
      </c>
      <c r="H70" s="136">
        <f t="shared" si="23"/>
        <v>0</v>
      </c>
      <c r="I70" s="158">
        <f t="shared" si="23"/>
        <v>0</v>
      </c>
      <c r="J70" s="135">
        <f t="shared" si="23"/>
        <v>0</v>
      </c>
    </row>
    <row r="71" spans="1:10" x14ac:dyDescent="0.2">
      <c r="A71" s="144" t="str">
        <f t="shared" ref="A71" si="24">RIGHT(A125,3)</f>
        <v>60A</v>
      </c>
      <c r="B71" s="449" t="str">
        <f t="shared" si="22"/>
        <v>EU</v>
      </c>
      <c r="C71" s="377" t="str">
        <f t="shared" si="22"/>
        <v>Toilet Facilities (Vulnerable)</v>
      </c>
      <c r="D71" s="450"/>
      <c r="E71" s="379">
        <f t="shared" si="23"/>
        <v>249852.16999999998</v>
      </c>
      <c r="F71" s="209">
        <f t="shared" si="23"/>
        <v>0</v>
      </c>
      <c r="G71" s="158">
        <f t="shared" si="23"/>
        <v>0</v>
      </c>
      <c r="H71" s="136">
        <f t="shared" si="23"/>
        <v>0</v>
      </c>
      <c r="I71" s="158">
        <f t="shared" si="23"/>
        <v>0</v>
      </c>
      <c r="J71" s="135">
        <f t="shared" si="23"/>
        <v>0</v>
      </c>
    </row>
    <row r="72" spans="1:10" x14ac:dyDescent="0.2">
      <c r="A72" s="144" t="str">
        <f>RIGHT(A126,3)</f>
        <v>62A</v>
      </c>
      <c r="B72" s="449" t="str">
        <f t="shared" si="22"/>
        <v>EU</v>
      </c>
      <c r="C72" s="377" t="str">
        <f t="shared" si="22"/>
        <v>Abattoir (Mahle) (Equipping Abattoir)</v>
      </c>
      <c r="D72" s="450"/>
      <c r="E72" s="379">
        <f t="shared" si="23"/>
        <v>1172360.29</v>
      </c>
      <c r="F72" s="209">
        <f t="shared" si="23"/>
        <v>0</v>
      </c>
      <c r="G72" s="158">
        <f t="shared" si="23"/>
        <v>177600</v>
      </c>
      <c r="H72" s="136">
        <f t="shared" si="23"/>
        <v>96800</v>
      </c>
      <c r="I72" s="158">
        <f t="shared" si="23"/>
        <v>0</v>
      </c>
      <c r="J72" s="135">
        <f t="shared" si="23"/>
        <v>0</v>
      </c>
    </row>
    <row r="73" spans="1:10" x14ac:dyDescent="0.2">
      <c r="A73" s="144" t="str">
        <f>RIGHT(A127,3)</f>
        <v>63A</v>
      </c>
      <c r="B73" s="449" t="str">
        <f t="shared" si="22"/>
        <v>EU</v>
      </c>
      <c r="C73" s="377" t="str">
        <f t="shared" si="22"/>
        <v>Social Housing Programme</v>
      </c>
      <c r="D73" s="450"/>
      <c r="E73" s="379">
        <f t="shared" si="23"/>
        <v>0</v>
      </c>
      <c r="F73" s="209">
        <f t="shared" si="23"/>
        <v>2000000</v>
      </c>
      <c r="G73" s="158">
        <f t="shared" si="23"/>
        <v>2000000</v>
      </c>
      <c r="H73" s="136">
        <f t="shared" si="23"/>
        <v>720000</v>
      </c>
      <c r="I73" s="158">
        <f t="shared" si="23"/>
        <v>0</v>
      </c>
      <c r="J73" s="135">
        <f t="shared" si="23"/>
        <v>0</v>
      </c>
    </row>
    <row r="74" spans="1:10" x14ac:dyDescent="0.2">
      <c r="A74" s="144" t="str">
        <f>RIGHT(A128,3)</f>
        <v>93A</v>
      </c>
      <c r="B74" s="449" t="str">
        <f t="shared" si="22"/>
        <v>DFID</v>
      </c>
      <c r="C74" s="377" t="str">
        <f t="shared" si="22"/>
        <v>Emergency Shelters</v>
      </c>
      <c r="D74" s="450"/>
      <c r="E74" s="379">
        <f t="shared" si="23"/>
        <v>0</v>
      </c>
      <c r="F74" s="209">
        <f t="shared" si="23"/>
        <v>0</v>
      </c>
      <c r="G74" s="158">
        <f t="shared" si="23"/>
        <v>252000</v>
      </c>
      <c r="H74" s="136">
        <f t="shared" si="23"/>
        <v>358200</v>
      </c>
      <c r="I74" s="158">
        <f t="shared" si="23"/>
        <v>185600</v>
      </c>
      <c r="J74" s="135">
        <f t="shared" si="23"/>
        <v>0</v>
      </c>
    </row>
    <row r="75" spans="1:10" x14ac:dyDescent="0.2">
      <c r="A75" s="144" t="str">
        <f>RIGHT(A129,3)</f>
        <v>96A</v>
      </c>
      <c r="B75" s="449" t="str">
        <f t="shared" si="22"/>
        <v>DFID</v>
      </c>
      <c r="C75" s="377" t="str">
        <f t="shared" si="22"/>
        <v xml:space="preserve">Social Housing </v>
      </c>
      <c r="D75" s="450"/>
      <c r="E75" s="379">
        <f t="shared" si="23"/>
        <v>0</v>
      </c>
      <c r="F75" s="209">
        <f t="shared" si="23"/>
        <v>0</v>
      </c>
      <c r="G75" s="158">
        <f t="shared" si="23"/>
        <v>1999600</v>
      </c>
      <c r="H75" s="136">
        <f t="shared" si="23"/>
        <v>1795400</v>
      </c>
      <c r="I75" s="158">
        <f t="shared" si="23"/>
        <v>1113600</v>
      </c>
      <c r="J75" s="135">
        <f t="shared" si="23"/>
        <v>0</v>
      </c>
    </row>
    <row r="76" spans="1:10" x14ac:dyDescent="0.2">
      <c r="A76" s="144" t="str">
        <f>RIGHT(A130,3)</f>
        <v>01A</v>
      </c>
      <c r="B76" s="449" t="str">
        <f t="shared" si="22"/>
        <v>EU</v>
      </c>
      <c r="C76" s="377" t="str">
        <f t="shared" si="22"/>
        <v>Agriculture Infrastructure Development</v>
      </c>
      <c r="D76" s="450"/>
      <c r="E76" s="379">
        <f t="shared" si="23"/>
        <v>0</v>
      </c>
      <c r="F76" s="209">
        <f t="shared" si="23"/>
        <v>0</v>
      </c>
      <c r="G76" s="158">
        <f t="shared" si="23"/>
        <v>0</v>
      </c>
      <c r="H76" s="136">
        <f t="shared" si="23"/>
        <v>100000</v>
      </c>
      <c r="I76" s="158">
        <f t="shared" si="23"/>
        <v>0</v>
      </c>
      <c r="J76" s="135">
        <f t="shared" si="23"/>
        <v>0</v>
      </c>
    </row>
    <row r="77" spans="1:10" ht="15" customHeight="1" x14ac:dyDescent="0.2">
      <c r="A77" s="139" t="s">
        <v>69</v>
      </c>
      <c r="B77" s="139"/>
      <c r="C77" s="380"/>
      <c r="D77" s="380"/>
      <c r="E77" s="140">
        <f t="shared" ref="E77:J77" si="25">SUM(E69:E76)</f>
        <v>1608946.53</v>
      </c>
      <c r="F77" s="140">
        <f t="shared" si="25"/>
        <v>2707600</v>
      </c>
      <c r="G77" s="140">
        <f t="shared" si="25"/>
        <v>5136800</v>
      </c>
      <c r="H77" s="140">
        <f t="shared" si="25"/>
        <v>3070400</v>
      </c>
      <c r="I77" s="140">
        <f t="shared" si="25"/>
        <v>1299200</v>
      </c>
      <c r="J77" s="140">
        <f t="shared" si="25"/>
        <v>0</v>
      </c>
    </row>
    <row r="78" spans="1:10" x14ac:dyDescent="0.2">
      <c r="A78" s="129"/>
      <c r="B78" s="129"/>
      <c r="C78" s="129"/>
      <c r="D78" s="129"/>
      <c r="E78" s="129"/>
      <c r="F78" s="129"/>
      <c r="G78" s="129"/>
      <c r="H78" s="129"/>
      <c r="I78" s="129"/>
      <c r="J78" s="129"/>
    </row>
    <row r="79" spans="1:10" ht="15" customHeight="1" x14ac:dyDescent="0.2">
      <c r="A79" s="137" t="s">
        <v>1275</v>
      </c>
      <c r="B79" s="137"/>
      <c r="C79" s="137"/>
      <c r="D79" s="137"/>
      <c r="E79" s="147">
        <f t="shared" ref="E79:J79" si="26">SUM(E65,E77)</f>
        <v>6457721.1800000006</v>
      </c>
      <c r="F79" s="147">
        <f t="shared" si="26"/>
        <v>8711400</v>
      </c>
      <c r="G79" s="147">
        <f t="shared" si="26"/>
        <v>10822200</v>
      </c>
      <c r="H79" s="147">
        <f t="shared" si="26"/>
        <v>9488500</v>
      </c>
      <c r="I79" s="147">
        <f t="shared" si="26"/>
        <v>7948700</v>
      </c>
      <c r="J79" s="147">
        <f t="shared" si="26"/>
        <v>6650000</v>
      </c>
    </row>
    <row r="80" spans="1:10" x14ac:dyDescent="0.2">
      <c r="A80" s="129"/>
      <c r="B80" s="129"/>
      <c r="C80" s="129"/>
      <c r="D80" s="129"/>
      <c r="E80" s="129"/>
      <c r="F80" s="129"/>
      <c r="G80" s="129"/>
      <c r="H80" s="129"/>
      <c r="I80" s="129"/>
      <c r="J80" s="129"/>
    </row>
    <row r="81" spans="1:10" ht="15" customHeight="1" x14ac:dyDescent="0.2">
      <c r="A81" s="128" t="s">
        <v>288</v>
      </c>
      <c r="B81" s="128"/>
      <c r="C81" s="128"/>
      <c r="D81" s="128"/>
      <c r="E81" s="128"/>
      <c r="F81" s="128"/>
      <c r="G81" s="128"/>
      <c r="H81" s="128"/>
      <c r="I81" s="128"/>
      <c r="J81" s="128"/>
    </row>
    <row r="82" spans="1:10" ht="15" customHeight="1" x14ac:dyDescent="0.2">
      <c r="A82" s="137" t="s">
        <v>289</v>
      </c>
      <c r="B82" s="137"/>
      <c r="C82" s="137"/>
      <c r="D82" s="137"/>
      <c r="E82" s="149"/>
      <c r="F82" s="149"/>
      <c r="G82" s="149"/>
      <c r="H82" s="148"/>
      <c r="I82" s="149"/>
      <c r="J82" s="149"/>
    </row>
    <row r="83" spans="1:10" x14ac:dyDescent="0.2">
      <c r="A83" s="129"/>
      <c r="B83" s="129"/>
      <c r="C83" s="129"/>
      <c r="D83" s="129"/>
      <c r="E83" s="129"/>
      <c r="F83" s="129"/>
      <c r="G83" s="129"/>
      <c r="H83" s="129"/>
      <c r="I83" s="129"/>
      <c r="J83" s="129"/>
    </row>
    <row r="84" spans="1:10" ht="15" customHeight="1" x14ac:dyDescent="0.2">
      <c r="A84" s="150" t="s">
        <v>1276</v>
      </c>
      <c r="B84" s="150"/>
      <c r="C84" s="150"/>
      <c r="D84" s="150"/>
      <c r="E84" s="150"/>
      <c r="F84" s="150"/>
      <c r="G84" s="150"/>
      <c r="H84" s="150"/>
      <c r="I84" s="150"/>
      <c r="J84" s="150"/>
    </row>
    <row r="85" spans="1:10" ht="15" customHeight="1" x14ac:dyDescent="0.2">
      <c r="A85" s="151" t="s">
        <v>291</v>
      </c>
      <c r="B85" s="151"/>
      <c r="C85" s="151"/>
      <c r="D85" s="101"/>
      <c r="E85" s="101"/>
      <c r="F85" s="101"/>
      <c r="G85" s="101"/>
      <c r="H85" s="101"/>
      <c r="I85" s="101"/>
      <c r="J85" s="101"/>
    </row>
    <row r="86" spans="1:10" ht="20.45" customHeight="1" x14ac:dyDescent="0.2">
      <c r="A86" s="129" t="s">
        <v>1277</v>
      </c>
      <c r="B86" s="129"/>
      <c r="C86" s="129"/>
      <c r="D86" s="129"/>
      <c r="E86" s="129"/>
      <c r="F86" s="129"/>
      <c r="G86" s="129"/>
      <c r="H86" s="129"/>
      <c r="I86" s="129"/>
      <c r="J86" s="129"/>
    </row>
    <row r="87" spans="1:10" x14ac:dyDescent="0.2">
      <c r="A87" s="128" t="s">
        <v>293</v>
      </c>
      <c r="B87" s="128"/>
      <c r="C87" s="128"/>
      <c r="D87" s="128"/>
      <c r="E87" s="128"/>
      <c r="F87" s="128"/>
      <c r="G87" s="128"/>
      <c r="H87" s="128"/>
      <c r="I87" s="128"/>
      <c r="J87" s="128"/>
    </row>
    <row r="88" spans="1:10" ht="33.75" x14ac:dyDescent="0.2">
      <c r="A88" s="152" t="s">
        <v>243</v>
      </c>
      <c r="B88" s="151" t="s">
        <v>242</v>
      </c>
      <c r="C88" s="151"/>
      <c r="D88" s="151"/>
      <c r="E88" s="132" t="str">
        <f t="shared" ref="E88:J88" si="27">E37</f>
        <v>Actuals           2014-2015</v>
      </c>
      <c r="F88" s="132" t="str">
        <f t="shared" si="27"/>
        <v>Approved Estimates          2015-2016</v>
      </c>
      <c r="G88" s="132" t="str">
        <f t="shared" si="27"/>
        <v>Revised Estimates                 2015-2016</v>
      </c>
      <c r="H88" s="132" t="str">
        <f t="shared" si="27"/>
        <v>Budget Estimates      2016-2017</v>
      </c>
      <c r="I88" s="132" t="str">
        <f t="shared" si="27"/>
        <v>Forward Estimates     2017-2018</v>
      </c>
      <c r="J88" s="132" t="str">
        <f t="shared" si="27"/>
        <v>Forward Estimates     2018-2019</v>
      </c>
    </row>
    <row r="89" spans="1:10" x14ac:dyDescent="0.2">
      <c r="A89" s="207">
        <v>122</v>
      </c>
      <c r="B89" s="129" t="s">
        <v>1278</v>
      </c>
      <c r="C89" s="129" t="s">
        <v>1278</v>
      </c>
      <c r="D89" s="129" t="s">
        <v>1278</v>
      </c>
      <c r="E89" s="211">
        <v>461944.62</v>
      </c>
      <c r="F89" s="211">
        <v>300000</v>
      </c>
      <c r="G89" s="211">
        <v>176200</v>
      </c>
      <c r="H89" s="210">
        <v>300000</v>
      </c>
      <c r="I89" s="211">
        <v>300000</v>
      </c>
      <c r="J89" s="211">
        <v>300000</v>
      </c>
    </row>
    <row r="90" spans="1:10" x14ac:dyDescent="0.2">
      <c r="A90" s="207">
        <v>122</v>
      </c>
      <c r="B90" s="129" t="s">
        <v>1279</v>
      </c>
      <c r="C90" s="129" t="s">
        <v>1279</v>
      </c>
      <c r="D90" s="129" t="s">
        <v>1279</v>
      </c>
      <c r="E90" s="211">
        <v>0</v>
      </c>
      <c r="F90" s="211">
        <v>0</v>
      </c>
      <c r="G90" s="211">
        <v>0</v>
      </c>
      <c r="H90" s="210">
        <v>0</v>
      </c>
      <c r="I90" s="211">
        <v>0</v>
      </c>
      <c r="J90" s="211">
        <v>0</v>
      </c>
    </row>
    <row r="91" spans="1:10" x14ac:dyDescent="0.2">
      <c r="A91" s="207" t="s">
        <v>116</v>
      </c>
      <c r="B91" s="129" t="s">
        <v>1280</v>
      </c>
      <c r="C91" s="129" t="s">
        <v>1280</v>
      </c>
      <c r="D91" s="129" t="s">
        <v>1280</v>
      </c>
      <c r="E91" s="211">
        <v>13000</v>
      </c>
      <c r="F91" s="211">
        <v>18000</v>
      </c>
      <c r="G91" s="211">
        <v>13700</v>
      </c>
      <c r="H91" s="210">
        <v>18000</v>
      </c>
      <c r="I91" s="211">
        <v>18000</v>
      </c>
      <c r="J91" s="211">
        <v>18000</v>
      </c>
    </row>
    <row r="92" spans="1:10" x14ac:dyDescent="0.2">
      <c r="A92" s="207">
        <v>135</v>
      </c>
      <c r="B92" s="129" t="s">
        <v>1185</v>
      </c>
      <c r="C92" s="129" t="s">
        <v>1185</v>
      </c>
      <c r="D92" s="129" t="s">
        <v>1185</v>
      </c>
      <c r="E92" s="211">
        <v>124095</v>
      </c>
      <c r="F92" s="211">
        <v>0</v>
      </c>
      <c r="G92" s="211">
        <v>0</v>
      </c>
      <c r="H92" s="210">
        <v>0</v>
      </c>
      <c r="I92" s="211">
        <v>0</v>
      </c>
      <c r="J92" s="211">
        <v>0</v>
      </c>
    </row>
    <row r="93" spans="1:10" x14ac:dyDescent="0.2">
      <c r="A93" s="207">
        <v>160</v>
      </c>
      <c r="B93" s="129" t="s">
        <v>1281</v>
      </c>
      <c r="C93" s="129" t="s">
        <v>1281</v>
      </c>
      <c r="D93" s="129" t="s">
        <v>1281</v>
      </c>
      <c r="E93" s="211">
        <v>0</v>
      </c>
      <c r="F93" s="211">
        <v>0</v>
      </c>
      <c r="G93" s="211">
        <v>0</v>
      </c>
      <c r="H93" s="210">
        <v>0</v>
      </c>
      <c r="I93" s="211">
        <v>0</v>
      </c>
      <c r="J93" s="211">
        <v>0</v>
      </c>
    </row>
    <row r="94" spans="1:10" x14ac:dyDescent="0.2">
      <c r="A94" s="137" t="s">
        <v>1274</v>
      </c>
      <c r="B94" s="137"/>
      <c r="C94" s="137"/>
      <c r="D94" s="137"/>
      <c r="E94" s="138">
        <f t="shared" ref="E94:J94" si="28">SUM(E89:E93)</f>
        <v>599039.62</v>
      </c>
      <c r="F94" s="138">
        <f t="shared" si="28"/>
        <v>318000</v>
      </c>
      <c r="G94" s="138">
        <f t="shared" si="28"/>
        <v>189900</v>
      </c>
      <c r="H94" s="138">
        <f t="shared" si="28"/>
        <v>318000</v>
      </c>
      <c r="I94" s="138">
        <f t="shared" si="28"/>
        <v>318000</v>
      </c>
      <c r="J94" s="138">
        <f t="shared" si="28"/>
        <v>318000</v>
      </c>
    </row>
    <row r="95" spans="1:10" x14ac:dyDescent="0.2">
      <c r="A95" s="129"/>
      <c r="B95" s="129"/>
      <c r="C95" s="129"/>
      <c r="D95" s="129"/>
      <c r="E95" s="129"/>
      <c r="F95" s="129"/>
      <c r="G95" s="129"/>
      <c r="H95" s="129"/>
      <c r="I95" s="129"/>
      <c r="J95" s="129"/>
    </row>
    <row r="96" spans="1:10" ht="15" customHeight="1" x14ac:dyDescent="0.2">
      <c r="A96" s="128" t="s">
        <v>284</v>
      </c>
      <c r="B96" s="128"/>
      <c r="C96" s="128"/>
      <c r="D96" s="128"/>
      <c r="E96" s="128"/>
      <c r="F96" s="128"/>
      <c r="G96" s="128"/>
      <c r="H96" s="128"/>
      <c r="I96" s="128"/>
      <c r="J96" s="128"/>
    </row>
    <row r="97" spans="1:10" ht="33.75" x14ac:dyDescent="0.2">
      <c r="A97" s="152" t="s">
        <v>243</v>
      </c>
      <c r="B97" s="151" t="s">
        <v>242</v>
      </c>
      <c r="C97" s="151"/>
      <c r="D97" s="151"/>
      <c r="E97" s="132" t="str">
        <f t="shared" ref="E97:J97" si="29">E37</f>
        <v>Actuals           2014-2015</v>
      </c>
      <c r="F97" s="132" t="str">
        <f t="shared" si="29"/>
        <v>Approved Estimates          2015-2016</v>
      </c>
      <c r="G97" s="132" t="str">
        <f t="shared" si="29"/>
        <v>Revised Estimates                 2015-2016</v>
      </c>
      <c r="H97" s="132" t="str">
        <f t="shared" si="29"/>
        <v>Budget Estimates      2016-2017</v>
      </c>
      <c r="I97" s="132" t="str">
        <f t="shared" si="29"/>
        <v>Forward Estimates     2017-2018</v>
      </c>
      <c r="J97" s="132" t="str">
        <f t="shared" si="29"/>
        <v>Forward Estimates     2018-2019</v>
      </c>
    </row>
    <row r="98" spans="1:10" ht="15" customHeight="1" x14ac:dyDescent="0.2">
      <c r="A98" s="151" t="s">
        <v>7</v>
      </c>
      <c r="B98" s="151"/>
      <c r="C98" s="151"/>
      <c r="D98" s="151"/>
      <c r="E98" s="151"/>
      <c r="F98" s="151"/>
      <c r="G98" s="151"/>
      <c r="H98" s="151"/>
      <c r="I98" s="151"/>
      <c r="J98" s="190"/>
    </row>
    <row r="99" spans="1:10" x14ac:dyDescent="0.2">
      <c r="A99" s="207">
        <v>210</v>
      </c>
      <c r="B99" s="129" t="s">
        <v>7</v>
      </c>
      <c r="C99" s="129"/>
      <c r="D99" s="129"/>
      <c r="E99" s="211">
        <v>419493</v>
      </c>
      <c r="F99" s="209">
        <v>470200</v>
      </c>
      <c r="G99" s="211">
        <v>456200</v>
      </c>
      <c r="H99" s="210">
        <v>557100</v>
      </c>
      <c r="I99" s="211">
        <v>565400</v>
      </c>
      <c r="J99" s="211">
        <v>572600</v>
      </c>
    </row>
    <row r="100" spans="1:10" x14ac:dyDescent="0.2">
      <c r="A100" s="207">
        <v>212</v>
      </c>
      <c r="B100" s="129" t="s">
        <v>9</v>
      </c>
      <c r="C100" s="129"/>
      <c r="D100" s="129"/>
      <c r="E100" s="211">
        <v>15506.4</v>
      </c>
      <c r="F100" s="209">
        <v>15600</v>
      </c>
      <c r="G100" s="211">
        <v>17400</v>
      </c>
      <c r="H100" s="210">
        <v>19200</v>
      </c>
      <c r="I100" s="211">
        <v>19200</v>
      </c>
      <c r="J100" s="211">
        <v>19200</v>
      </c>
    </row>
    <row r="101" spans="1:10" x14ac:dyDescent="0.2">
      <c r="A101" s="207">
        <v>216</v>
      </c>
      <c r="B101" s="129" t="s">
        <v>10</v>
      </c>
      <c r="C101" s="129"/>
      <c r="D101" s="129"/>
      <c r="E101" s="211">
        <v>144846.66</v>
      </c>
      <c r="F101" s="209">
        <v>159200</v>
      </c>
      <c r="G101" s="211">
        <v>159200</v>
      </c>
      <c r="H101" s="210">
        <v>182900</v>
      </c>
      <c r="I101" s="211">
        <v>182900</v>
      </c>
      <c r="J101" s="211">
        <v>182900</v>
      </c>
    </row>
    <row r="102" spans="1:10" x14ac:dyDescent="0.2">
      <c r="A102" s="207">
        <v>218</v>
      </c>
      <c r="B102" s="129" t="s">
        <v>294</v>
      </c>
      <c r="C102" s="129"/>
      <c r="D102" s="129"/>
      <c r="E102" s="211">
        <v>0</v>
      </c>
      <c r="F102" s="209">
        <v>2800</v>
      </c>
      <c r="G102" s="211">
        <v>6400</v>
      </c>
      <c r="H102" s="210">
        <v>6600</v>
      </c>
      <c r="I102" s="211">
        <v>6700</v>
      </c>
      <c r="J102" s="211">
        <v>6900</v>
      </c>
    </row>
    <row r="103" spans="1:10" ht="15" customHeight="1" x14ac:dyDescent="0.2">
      <c r="A103" s="156" t="s">
        <v>295</v>
      </c>
      <c r="B103" s="156"/>
      <c r="C103" s="156"/>
      <c r="D103" s="156"/>
      <c r="E103" s="157">
        <f t="shared" ref="E103:J103" si="30">SUM(E99:E102)</f>
        <v>579846.06000000006</v>
      </c>
      <c r="F103" s="157">
        <f t="shared" si="30"/>
        <v>647800</v>
      </c>
      <c r="G103" s="157">
        <f t="shared" si="30"/>
        <v>639200</v>
      </c>
      <c r="H103" s="157">
        <f t="shared" si="30"/>
        <v>765800</v>
      </c>
      <c r="I103" s="157">
        <f t="shared" si="30"/>
        <v>774200</v>
      </c>
      <c r="J103" s="157">
        <f t="shared" si="30"/>
        <v>781600</v>
      </c>
    </row>
    <row r="104" spans="1:10" ht="15" customHeight="1" x14ac:dyDescent="0.2">
      <c r="A104" s="156" t="s">
        <v>296</v>
      </c>
      <c r="B104" s="156"/>
      <c r="C104" s="156"/>
      <c r="D104" s="156"/>
      <c r="E104" s="156"/>
      <c r="F104" s="156"/>
      <c r="G104" s="156"/>
      <c r="H104" s="156"/>
      <c r="I104" s="156"/>
      <c r="J104" s="190"/>
    </row>
    <row r="105" spans="1:10" x14ac:dyDescent="0.2">
      <c r="A105" s="207">
        <v>220</v>
      </c>
      <c r="B105" s="129" t="s">
        <v>204</v>
      </c>
      <c r="C105" s="129"/>
      <c r="D105" s="129"/>
      <c r="E105" s="211">
        <v>11667.4</v>
      </c>
      <c r="F105" s="211">
        <v>14100</v>
      </c>
      <c r="G105" s="211">
        <v>14100</v>
      </c>
      <c r="H105" s="210">
        <v>14100</v>
      </c>
      <c r="I105" s="211">
        <v>14100</v>
      </c>
      <c r="J105" s="211">
        <v>14100</v>
      </c>
    </row>
    <row r="106" spans="1:10" x14ac:dyDescent="0.2">
      <c r="A106" s="207">
        <v>222</v>
      </c>
      <c r="B106" s="129" t="s">
        <v>205</v>
      </c>
      <c r="C106" s="129"/>
      <c r="D106" s="129"/>
      <c r="E106" s="211">
        <v>32350.38</v>
      </c>
      <c r="F106" s="211">
        <v>37500</v>
      </c>
      <c r="G106" s="211">
        <v>37500</v>
      </c>
      <c r="H106" s="210">
        <v>65000</v>
      </c>
      <c r="I106" s="211">
        <v>65000</v>
      </c>
      <c r="J106" s="211">
        <v>65000</v>
      </c>
    </row>
    <row r="107" spans="1:10" x14ac:dyDescent="0.2">
      <c r="A107" s="207">
        <v>224</v>
      </c>
      <c r="B107" s="129" t="s">
        <v>206</v>
      </c>
      <c r="C107" s="129"/>
      <c r="D107" s="129"/>
      <c r="E107" s="211">
        <v>198500</v>
      </c>
      <c r="F107" s="211">
        <v>198500</v>
      </c>
      <c r="G107" s="211">
        <v>97000</v>
      </c>
      <c r="H107" s="210">
        <v>198500</v>
      </c>
      <c r="I107" s="211">
        <v>198500</v>
      </c>
      <c r="J107" s="211">
        <v>198500</v>
      </c>
    </row>
    <row r="108" spans="1:10" x14ac:dyDescent="0.2">
      <c r="A108" s="207">
        <v>226</v>
      </c>
      <c r="B108" s="129" t="s">
        <v>207</v>
      </c>
      <c r="C108" s="129"/>
      <c r="D108" s="129"/>
      <c r="E108" s="211">
        <v>50000</v>
      </c>
      <c r="F108" s="211">
        <v>50000</v>
      </c>
      <c r="G108" s="211">
        <v>60000</v>
      </c>
      <c r="H108" s="210">
        <v>50000</v>
      </c>
      <c r="I108" s="211">
        <v>50000</v>
      </c>
      <c r="J108" s="211">
        <v>50000</v>
      </c>
    </row>
    <row r="109" spans="1:10" x14ac:dyDescent="0.2">
      <c r="A109" s="207">
        <v>228</v>
      </c>
      <c r="B109" s="129" t="s">
        <v>208</v>
      </c>
      <c r="C109" s="129"/>
      <c r="D109" s="129"/>
      <c r="E109" s="211">
        <v>7946.06</v>
      </c>
      <c r="F109" s="211">
        <v>8000</v>
      </c>
      <c r="G109" s="211">
        <v>8000</v>
      </c>
      <c r="H109" s="210">
        <v>8700</v>
      </c>
      <c r="I109" s="211">
        <v>8700</v>
      </c>
      <c r="J109" s="211">
        <v>8700</v>
      </c>
    </row>
    <row r="110" spans="1:10" x14ac:dyDescent="0.2">
      <c r="A110" s="207">
        <v>229</v>
      </c>
      <c r="B110" s="129" t="s">
        <v>209</v>
      </c>
      <c r="C110" s="129"/>
      <c r="D110" s="129"/>
      <c r="E110" s="211">
        <v>42884.13</v>
      </c>
      <c r="F110" s="211">
        <v>40000</v>
      </c>
      <c r="G110" s="211">
        <v>40000</v>
      </c>
      <c r="H110" s="210">
        <v>40000</v>
      </c>
      <c r="I110" s="211">
        <v>40000</v>
      </c>
      <c r="J110" s="211">
        <v>40000</v>
      </c>
    </row>
    <row r="111" spans="1:10" x14ac:dyDescent="0.2">
      <c r="A111" s="207">
        <v>232</v>
      </c>
      <c r="B111" s="129" t="s">
        <v>211</v>
      </c>
      <c r="C111" s="129"/>
      <c r="D111" s="129"/>
      <c r="E111" s="211">
        <v>34966.67</v>
      </c>
      <c r="F111" s="211">
        <v>55000</v>
      </c>
      <c r="G111" s="211">
        <v>55000</v>
      </c>
      <c r="H111" s="210">
        <v>55000</v>
      </c>
      <c r="I111" s="211">
        <v>55000</v>
      </c>
      <c r="J111" s="211">
        <v>55000</v>
      </c>
    </row>
    <row r="112" spans="1:10" x14ac:dyDescent="0.2">
      <c r="A112" s="207">
        <v>234</v>
      </c>
      <c r="B112" s="129" t="s">
        <v>212</v>
      </c>
      <c r="C112" s="129"/>
      <c r="D112" s="129"/>
      <c r="E112" s="211">
        <v>84900</v>
      </c>
      <c r="F112" s="211">
        <v>82800</v>
      </c>
      <c r="G112" s="211">
        <v>82800</v>
      </c>
      <c r="H112" s="210">
        <v>72000</v>
      </c>
      <c r="I112" s="211">
        <v>72000</v>
      </c>
      <c r="J112" s="211">
        <v>72000</v>
      </c>
    </row>
    <row r="113" spans="1:10" x14ac:dyDescent="0.2">
      <c r="A113" s="207">
        <v>236</v>
      </c>
      <c r="B113" s="129" t="s">
        <v>213</v>
      </c>
      <c r="C113" s="129"/>
      <c r="D113" s="129"/>
      <c r="E113" s="211">
        <v>30000</v>
      </c>
      <c r="F113" s="211">
        <v>28000</v>
      </c>
      <c r="G113" s="211">
        <v>28000</v>
      </c>
      <c r="H113" s="210">
        <v>28000</v>
      </c>
      <c r="I113" s="211">
        <v>28000</v>
      </c>
      <c r="J113" s="211">
        <v>28000</v>
      </c>
    </row>
    <row r="114" spans="1:10" x14ac:dyDescent="0.2">
      <c r="A114" s="207">
        <v>261</v>
      </c>
      <c r="B114" s="129" t="s">
        <v>221</v>
      </c>
      <c r="C114" s="129"/>
      <c r="D114" s="129"/>
      <c r="E114" s="211">
        <v>0</v>
      </c>
      <c r="F114" s="211">
        <v>120000</v>
      </c>
      <c r="G114" s="211">
        <v>120000</v>
      </c>
      <c r="H114" s="210">
        <f>100000+230000</f>
        <v>330000</v>
      </c>
      <c r="I114" s="211">
        <f t="shared" ref="I114:J114" si="31">100000+230000</f>
        <v>330000</v>
      </c>
      <c r="J114" s="211">
        <f t="shared" si="31"/>
        <v>330000</v>
      </c>
    </row>
    <row r="115" spans="1:10" x14ac:dyDescent="0.2">
      <c r="A115" s="207">
        <v>275</v>
      </c>
      <c r="B115" s="129" t="s">
        <v>228</v>
      </c>
      <c r="C115" s="129"/>
      <c r="D115" s="129"/>
      <c r="E115" s="211">
        <v>1982.45</v>
      </c>
      <c r="F115" s="211">
        <v>4000</v>
      </c>
      <c r="G115" s="211">
        <v>4000</v>
      </c>
      <c r="H115" s="210">
        <v>4000</v>
      </c>
      <c r="I115" s="211">
        <v>4000</v>
      </c>
      <c r="J115" s="211">
        <v>4000</v>
      </c>
    </row>
    <row r="116" spans="1:10" x14ac:dyDescent="0.2">
      <c r="A116" s="207">
        <v>281</v>
      </c>
      <c r="B116" s="129" t="s">
        <v>234</v>
      </c>
      <c r="C116" s="129"/>
      <c r="D116" s="129"/>
      <c r="E116" s="211">
        <v>27601.1</v>
      </c>
      <c r="F116" s="211">
        <v>30000</v>
      </c>
      <c r="G116" s="211">
        <v>30000</v>
      </c>
      <c r="H116" s="210">
        <v>30000</v>
      </c>
      <c r="I116" s="211">
        <v>30000</v>
      </c>
      <c r="J116" s="211">
        <v>30000</v>
      </c>
    </row>
    <row r="117" spans="1:10" ht="15" customHeight="1" x14ac:dyDescent="0.2">
      <c r="A117" s="156" t="s">
        <v>298</v>
      </c>
      <c r="B117" s="156"/>
      <c r="C117" s="156"/>
      <c r="D117" s="156"/>
      <c r="E117" s="157">
        <f t="shared" ref="E117:J117" si="32">SUM(E105:E116)</f>
        <v>522798.19</v>
      </c>
      <c r="F117" s="264">
        <f t="shared" si="32"/>
        <v>667900</v>
      </c>
      <c r="G117" s="157">
        <f t="shared" si="32"/>
        <v>576400</v>
      </c>
      <c r="H117" s="157">
        <f t="shared" si="32"/>
        <v>895300</v>
      </c>
      <c r="I117" s="157">
        <f t="shared" si="32"/>
        <v>895300</v>
      </c>
      <c r="J117" s="157">
        <f t="shared" si="32"/>
        <v>895300</v>
      </c>
    </row>
    <row r="118" spans="1:10" x14ac:dyDescent="0.2">
      <c r="A118" s="159" t="s">
        <v>299</v>
      </c>
      <c r="B118" s="159"/>
      <c r="C118" s="159"/>
      <c r="D118" s="159"/>
      <c r="E118" s="160">
        <f t="shared" ref="E118:J118" si="33">SUM(E103,E117)</f>
        <v>1102644.25</v>
      </c>
      <c r="F118" s="160">
        <f t="shared" si="33"/>
        <v>1315700</v>
      </c>
      <c r="G118" s="160">
        <f t="shared" si="33"/>
        <v>1215600</v>
      </c>
      <c r="H118" s="160">
        <f t="shared" si="33"/>
        <v>1661100</v>
      </c>
      <c r="I118" s="160">
        <f t="shared" si="33"/>
        <v>1669500</v>
      </c>
      <c r="J118" s="160">
        <f t="shared" si="33"/>
        <v>1676900</v>
      </c>
    </row>
    <row r="119" spans="1:10" ht="15" customHeight="1" x14ac:dyDescent="0.2">
      <c r="A119" s="289"/>
      <c r="B119" s="289"/>
      <c r="C119" s="289"/>
      <c r="D119" s="289"/>
      <c r="E119" s="289"/>
      <c r="F119" s="289"/>
      <c r="G119" s="289"/>
      <c r="H119" s="289"/>
      <c r="I119" s="289"/>
      <c r="J119" s="289"/>
    </row>
    <row r="120" spans="1:10" x14ac:dyDescent="0.2">
      <c r="A120" s="162" t="s">
        <v>15</v>
      </c>
      <c r="B120" s="162"/>
      <c r="C120" s="162"/>
      <c r="D120" s="162"/>
      <c r="E120" s="162"/>
      <c r="F120" s="162"/>
      <c r="G120" s="162"/>
      <c r="H120" s="162"/>
      <c r="I120" s="162"/>
      <c r="J120" s="162"/>
    </row>
    <row r="121" spans="1:10" ht="18" customHeight="1" x14ac:dyDescent="0.2">
      <c r="A121" s="131" t="s">
        <v>242</v>
      </c>
      <c r="B121" s="131"/>
      <c r="C121" s="131"/>
      <c r="D121" s="131"/>
      <c r="E121" s="128" t="str">
        <f t="shared" ref="E121:J121" si="34">E37</f>
        <v>Actuals           2014-2015</v>
      </c>
      <c r="F121" s="128" t="str">
        <f t="shared" si="34"/>
        <v>Approved Estimates          2015-2016</v>
      </c>
      <c r="G121" s="128" t="str">
        <f t="shared" si="34"/>
        <v>Revised Estimates                 2015-2016</v>
      </c>
      <c r="H121" s="128" t="str">
        <f t="shared" si="34"/>
        <v>Budget Estimates      2016-2017</v>
      </c>
      <c r="I121" s="128" t="str">
        <f t="shared" si="34"/>
        <v>Forward Estimates     2017-2018</v>
      </c>
      <c r="J121" s="128" t="str">
        <f t="shared" si="34"/>
        <v>Forward Estimates     2018-2019</v>
      </c>
    </row>
    <row r="122" spans="1:10" x14ac:dyDescent="0.2">
      <c r="A122" s="130" t="s">
        <v>243</v>
      </c>
      <c r="B122" s="130" t="s">
        <v>244</v>
      </c>
      <c r="C122" s="131" t="s">
        <v>245</v>
      </c>
      <c r="D122" s="131"/>
      <c r="E122" s="101"/>
      <c r="F122" s="101"/>
      <c r="G122" s="101"/>
      <c r="H122" s="101"/>
      <c r="I122" s="101"/>
      <c r="J122" s="101"/>
    </row>
    <row r="123" spans="1:10" x14ac:dyDescent="0.2">
      <c r="A123" s="335" t="s">
        <v>1282</v>
      </c>
      <c r="B123" s="144" t="s">
        <v>1283</v>
      </c>
      <c r="C123" s="377" t="s">
        <v>1284</v>
      </c>
      <c r="D123" s="450"/>
      <c r="E123" s="158">
        <v>0</v>
      </c>
      <c r="F123" s="158">
        <v>345600</v>
      </c>
      <c r="G123" s="158">
        <v>345600</v>
      </c>
      <c r="H123" s="136">
        <v>0</v>
      </c>
      <c r="I123" s="158">
        <v>0</v>
      </c>
      <c r="J123" s="135">
        <v>0</v>
      </c>
    </row>
    <row r="124" spans="1:10" x14ac:dyDescent="0.2">
      <c r="A124" s="335" t="s">
        <v>1285</v>
      </c>
      <c r="B124" s="144" t="s">
        <v>1286</v>
      </c>
      <c r="C124" s="377" t="s">
        <v>1287</v>
      </c>
      <c r="D124" s="450"/>
      <c r="E124" s="158">
        <v>186734.07</v>
      </c>
      <c r="F124" s="158">
        <v>362000</v>
      </c>
      <c r="G124" s="158">
        <v>362000</v>
      </c>
      <c r="H124" s="136">
        <v>0</v>
      </c>
      <c r="I124" s="158">
        <v>0</v>
      </c>
      <c r="J124" s="135">
        <v>0</v>
      </c>
    </row>
    <row r="125" spans="1:10" x14ac:dyDescent="0.2">
      <c r="A125" s="335" t="s">
        <v>1288</v>
      </c>
      <c r="B125" s="144" t="s">
        <v>859</v>
      </c>
      <c r="C125" s="377" t="s">
        <v>1289</v>
      </c>
      <c r="D125" s="450"/>
      <c r="E125" s="158">
        <v>249852.16999999998</v>
      </c>
      <c r="F125" s="158">
        <v>0</v>
      </c>
      <c r="G125" s="158">
        <v>0</v>
      </c>
      <c r="H125" s="136">
        <v>0</v>
      </c>
      <c r="I125" s="158">
        <v>0</v>
      </c>
      <c r="J125" s="135">
        <v>0</v>
      </c>
    </row>
    <row r="126" spans="1:10" x14ac:dyDescent="0.2">
      <c r="A126" s="335" t="s">
        <v>1290</v>
      </c>
      <c r="B126" s="144" t="s">
        <v>859</v>
      </c>
      <c r="C126" s="377" t="s">
        <v>1291</v>
      </c>
      <c r="D126" s="450"/>
      <c r="E126" s="158">
        <v>1172360.29</v>
      </c>
      <c r="F126" s="158">
        <v>0</v>
      </c>
      <c r="G126" s="158">
        <v>177600</v>
      </c>
      <c r="H126" s="136">
        <v>96800</v>
      </c>
      <c r="I126" s="158">
        <v>0</v>
      </c>
      <c r="J126" s="135">
        <v>0</v>
      </c>
    </row>
    <row r="127" spans="1:10" x14ac:dyDescent="0.2">
      <c r="A127" s="335" t="s">
        <v>1292</v>
      </c>
      <c r="B127" s="144" t="s">
        <v>859</v>
      </c>
      <c r="C127" s="377" t="s">
        <v>1293</v>
      </c>
      <c r="D127" s="450"/>
      <c r="E127" s="158">
        <v>0</v>
      </c>
      <c r="F127" s="158">
        <v>2000000</v>
      </c>
      <c r="G127" s="158">
        <v>2000000</v>
      </c>
      <c r="H127" s="136">
        <v>720000</v>
      </c>
      <c r="I127" s="158">
        <v>0</v>
      </c>
      <c r="J127" s="135">
        <v>0</v>
      </c>
    </row>
    <row r="128" spans="1:10" x14ac:dyDescent="0.2">
      <c r="A128" s="335" t="s">
        <v>1294</v>
      </c>
      <c r="B128" s="144" t="s">
        <v>633</v>
      </c>
      <c r="C128" s="377" t="s">
        <v>1295</v>
      </c>
      <c r="D128" s="450"/>
      <c r="E128" s="158">
        <v>0</v>
      </c>
      <c r="F128" s="158">
        <v>0</v>
      </c>
      <c r="G128" s="158">
        <v>252000</v>
      </c>
      <c r="H128" s="136">
        <f>24100+334100</f>
        <v>358200</v>
      </c>
      <c r="I128" s="158">
        <v>185600</v>
      </c>
      <c r="J128" s="135">
        <v>0</v>
      </c>
    </row>
    <row r="129" spans="1:10" x14ac:dyDescent="0.2">
      <c r="A129" s="335" t="s">
        <v>1296</v>
      </c>
      <c r="B129" s="144" t="s">
        <v>633</v>
      </c>
      <c r="C129" s="377" t="s">
        <v>1297</v>
      </c>
      <c r="D129" s="450"/>
      <c r="E129" s="158">
        <v>0</v>
      </c>
      <c r="F129" s="158">
        <v>0</v>
      </c>
      <c r="G129" s="158">
        <v>1999600</v>
      </c>
      <c r="H129" s="136">
        <f>681800+1113600</f>
        <v>1795400</v>
      </c>
      <c r="I129" s="158">
        <v>1113600</v>
      </c>
      <c r="J129" s="135">
        <v>0</v>
      </c>
    </row>
    <row r="130" spans="1:10" x14ac:dyDescent="0.2">
      <c r="A130" s="335" t="s">
        <v>1298</v>
      </c>
      <c r="B130" s="144" t="s">
        <v>859</v>
      </c>
      <c r="C130" s="377" t="s">
        <v>1299</v>
      </c>
      <c r="D130" s="450"/>
      <c r="E130" s="158">
        <v>0</v>
      </c>
      <c r="F130" s="158">
        <v>0</v>
      </c>
      <c r="G130" s="158">
        <v>0</v>
      </c>
      <c r="H130" s="136">
        <v>100000</v>
      </c>
      <c r="I130" s="158">
        <v>0</v>
      </c>
      <c r="J130" s="135">
        <v>0</v>
      </c>
    </row>
    <row r="131" spans="1:10" ht="10.5" customHeight="1" x14ac:dyDescent="0.2">
      <c r="A131" s="137" t="s">
        <v>15</v>
      </c>
      <c r="B131" s="137"/>
      <c r="C131" s="137"/>
      <c r="D131" s="137"/>
      <c r="E131" s="138">
        <f t="shared" ref="E131:J131" si="35">SUM(E123:E130)</f>
        <v>1608946.53</v>
      </c>
      <c r="F131" s="138">
        <f t="shared" si="35"/>
        <v>2707600</v>
      </c>
      <c r="G131" s="138">
        <f t="shared" si="35"/>
        <v>5136800</v>
      </c>
      <c r="H131" s="138">
        <f t="shared" si="35"/>
        <v>3070400</v>
      </c>
      <c r="I131" s="138">
        <f t="shared" si="35"/>
        <v>1299200</v>
      </c>
      <c r="J131" s="138">
        <f t="shared" si="35"/>
        <v>0</v>
      </c>
    </row>
    <row r="132" spans="1:10" ht="12" customHeight="1" x14ac:dyDescent="0.2">
      <c r="A132" s="290"/>
      <c r="B132" s="290"/>
      <c r="C132" s="290"/>
      <c r="D132" s="290"/>
      <c r="E132" s="290"/>
      <c r="F132" s="290"/>
      <c r="G132" s="290"/>
      <c r="H132" s="290"/>
      <c r="I132" s="290"/>
      <c r="J132" s="290"/>
    </row>
    <row r="133" spans="1:10" ht="13.5" customHeight="1" x14ac:dyDescent="0.2">
      <c r="A133" s="161" t="s">
        <v>288</v>
      </c>
      <c r="B133" s="161"/>
      <c r="C133" s="161"/>
      <c r="D133" s="161"/>
      <c r="E133" s="161"/>
      <c r="F133" s="161"/>
      <c r="G133" s="161"/>
      <c r="H133" s="161"/>
      <c r="I133" s="161"/>
      <c r="J133" s="161"/>
    </row>
    <row r="134" spans="1:10" ht="15" customHeight="1" x14ac:dyDescent="0.2">
      <c r="A134" s="131" t="s">
        <v>300</v>
      </c>
      <c r="B134" s="131"/>
      <c r="C134" s="131"/>
      <c r="D134" s="132" t="s">
        <v>301</v>
      </c>
      <c r="E134" s="132" t="s">
        <v>302</v>
      </c>
      <c r="F134" s="131" t="s">
        <v>300</v>
      </c>
      <c r="G134" s="131"/>
      <c r="H134" s="131"/>
      <c r="I134" s="132" t="s">
        <v>301</v>
      </c>
      <c r="J134" s="132" t="s">
        <v>302</v>
      </c>
    </row>
    <row r="135" spans="1:10" ht="15" customHeight="1" x14ac:dyDescent="0.2">
      <c r="A135" s="134" t="str">
        <f>Establishment!D310</f>
        <v>Minister</v>
      </c>
      <c r="B135" s="134"/>
      <c r="C135" s="134"/>
      <c r="D135" s="357">
        <f>Establishment!E310</f>
        <v>0</v>
      </c>
      <c r="E135" s="133">
        <f>Establishment!C310</f>
        <v>1</v>
      </c>
      <c r="F135" s="134" t="str">
        <f>Establishment!D315</f>
        <v>Database Officer</v>
      </c>
      <c r="G135" s="134"/>
      <c r="H135" s="134"/>
      <c r="I135" s="357" t="str">
        <f>Establishment!E315</f>
        <v>R28-22</v>
      </c>
      <c r="J135" s="133">
        <f>Establishment!C315</f>
        <v>1</v>
      </c>
    </row>
    <row r="136" spans="1:10" ht="15" customHeight="1" x14ac:dyDescent="0.2">
      <c r="A136" s="134" t="str">
        <f>Establishment!D311</f>
        <v>Permanent Secretary</v>
      </c>
      <c r="B136" s="134"/>
      <c r="C136" s="134"/>
      <c r="D136" s="357" t="str">
        <f>Establishment!E311</f>
        <v>R5</v>
      </c>
      <c r="E136" s="133">
        <f>Establishment!C311</f>
        <v>1</v>
      </c>
      <c r="F136" s="134" t="str">
        <f>Establishment!D316</f>
        <v>Executive Officer</v>
      </c>
      <c r="G136" s="134"/>
      <c r="H136" s="134"/>
      <c r="I136" s="357" t="str">
        <f>Establishment!E316</f>
        <v>R28-22</v>
      </c>
      <c r="J136" s="133">
        <f>Establishment!C316</f>
        <v>1</v>
      </c>
    </row>
    <row r="137" spans="1:10" ht="15" customHeight="1" x14ac:dyDescent="0.2">
      <c r="A137" s="134" t="str">
        <f>Establishment!D312</f>
        <v>Senior Assistant Secretary</v>
      </c>
      <c r="B137" s="134"/>
      <c r="C137" s="134"/>
      <c r="D137" s="357" t="str">
        <f>Establishment!E312</f>
        <v>R17 - 13</v>
      </c>
      <c r="E137" s="133">
        <f>Establishment!C312</f>
        <v>0</v>
      </c>
      <c r="F137" s="134" t="str">
        <f>Establishment!D317</f>
        <v>Clerical Officer (Snr)</v>
      </c>
      <c r="G137" s="134"/>
      <c r="H137" s="134"/>
      <c r="I137" s="357" t="str">
        <f>Establishment!E317</f>
        <v>R33-29</v>
      </c>
      <c r="J137" s="133">
        <f>Establishment!C317</f>
        <v>1</v>
      </c>
    </row>
    <row r="138" spans="1:10" ht="15" customHeight="1" x14ac:dyDescent="0.2">
      <c r="A138" s="134" t="str">
        <f>Establishment!D313</f>
        <v>Assistant Secretary</v>
      </c>
      <c r="B138" s="134"/>
      <c r="C138" s="134"/>
      <c r="D138" s="357" t="str">
        <f>Establishment!E313</f>
        <v>R22-16</v>
      </c>
      <c r="E138" s="133">
        <f>Establishment!C313</f>
        <v>1</v>
      </c>
      <c r="F138" s="134" t="str">
        <f>Establishment!D318</f>
        <v>Clerical Officer</v>
      </c>
      <c r="G138" s="134"/>
      <c r="H138" s="134"/>
      <c r="I138" s="357" t="str">
        <f>Establishment!E318</f>
        <v>R46-34</v>
      </c>
      <c r="J138" s="133">
        <f>Establishment!C318</f>
        <v>2</v>
      </c>
    </row>
    <row r="139" spans="1:10" ht="24.75" customHeight="1" x14ac:dyDescent="0.2">
      <c r="A139" s="134" t="str">
        <f>Establishment!D314</f>
        <v>Information Systems &amp; Technology Manager</v>
      </c>
      <c r="B139" s="134"/>
      <c r="C139" s="134"/>
      <c r="D139" s="357" t="str">
        <f>Establishment!E314</f>
        <v>R22-16</v>
      </c>
      <c r="E139" s="133">
        <f>Establishment!C314</f>
        <v>1</v>
      </c>
      <c r="F139" s="134" t="str">
        <f>Establishment!D319</f>
        <v>Watchman</v>
      </c>
      <c r="G139" s="134"/>
      <c r="H139" s="134"/>
      <c r="I139" s="357" t="str">
        <f>Establishment!E319</f>
        <v>R42-36</v>
      </c>
      <c r="J139" s="133">
        <f>Establishment!C319+Establishment!C322</f>
        <v>4</v>
      </c>
    </row>
    <row r="140" spans="1:10" ht="14.25" customHeight="1" x14ac:dyDescent="0.2">
      <c r="A140" s="203" t="s">
        <v>303</v>
      </c>
      <c r="B140" s="203"/>
      <c r="C140" s="203"/>
      <c r="D140" s="203"/>
      <c r="E140" s="203"/>
      <c r="F140" s="203"/>
      <c r="G140" s="203"/>
      <c r="H140" s="203"/>
      <c r="I140" s="203"/>
      <c r="J140" s="204">
        <f>SUM(E135:E139,J135:J139)</f>
        <v>13</v>
      </c>
    </row>
    <row r="141" spans="1:10" x14ac:dyDescent="0.2">
      <c r="A141" s="129"/>
      <c r="B141" s="129"/>
      <c r="C141" s="129"/>
      <c r="D141" s="129"/>
      <c r="E141" s="129"/>
      <c r="F141" s="129"/>
      <c r="G141" s="129"/>
      <c r="H141" s="129"/>
      <c r="I141" s="129"/>
      <c r="J141" s="129"/>
    </row>
    <row r="142" spans="1:10" ht="11.25" customHeight="1" x14ac:dyDescent="0.2">
      <c r="A142" s="180" t="s">
        <v>304</v>
      </c>
      <c r="B142" s="180"/>
      <c r="C142" s="180"/>
      <c r="D142" s="180"/>
      <c r="E142" s="180"/>
      <c r="F142" s="180"/>
      <c r="G142" s="180"/>
      <c r="H142" s="180"/>
      <c r="I142" s="180"/>
      <c r="J142" s="180"/>
    </row>
    <row r="143" spans="1:10" x14ac:dyDescent="0.2">
      <c r="A143" s="181" t="s">
        <v>305</v>
      </c>
      <c r="B143" s="181"/>
      <c r="C143" s="181"/>
      <c r="D143" s="181"/>
      <c r="E143" s="181"/>
      <c r="F143" s="181"/>
      <c r="G143" s="181"/>
      <c r="H143" s="181"/>
      <c r="I143" s="181"/>
      <c r="J143" s="181"/>
    </row>
    <row r="144" spans="1:10" x14ac:dyDescent="0.2">
      <c r="A144" s="306" t="s">
        <v>1300</v>
      </c>
      <c r="B144" s="306"/>
      <c r="C144" s="306"/>
      <c r="D144" s="306"/>
      <c r="E144" s="306"/>
      <c r="F144" s="306"/>
      <c r="G144" s="306"/>
      <c r="H144" s="306"/>
      <c r="I144" s="306"/>
      <c r="J144" s="306"/>
    </row>
    <row r="145" spans="1:10" x14ac:dyDescent="0.2">
      <c r="A145" s="306" t="s">
        <v>1301</v>
      </c>
      <c r="B145" s="306"/>
      <c r="C145" s="306"/>
      <c r="D145" s="306"/>
      <c r="E145" s="306"/>
      <c r="F145" s="306"/>
      <c r="G145" s="306"/>
      <c r="H145" s="306"/>
      <c r="I145" s="306"/>
      <c r="J145" s="306"/>
    </row>
    <row r="146" spans="1:10" x14ac:dyDescent="0.2">
      <c r="A146" s="306" t="s">
        <v>1302</v>
      </c>
      <c r="B146" s="306"/>
      <c r="C146" s="306"/>
      <c r="D146" s="306"/>
      <c r="E146" s="306"/>
      <c r="F146" s="306"/>
      <c r="G146" s="306"/>
      <c r="H146" s="306"/>
      <c r="I146" s="306"/>
      <c r="J146" s="306"/>
    </row>
    <row r="147" spans="1:10" x14ac:dyDescent="0.2">
      <c r="A147" s="129" t="s">
        <v>1303</v>
      </c>
      <c r="B147" s="129"/>
      <c r="C147" s="129"/>
      <c r="D147" s="129"/>
      <c r="E147" s="129"/>
      <c r="F147" s="129"/>
      <c r="G147" s="129"/>
      <c r="H147" s="129"/>
      <c r="I147" s="129"/>
      <c r="J147" s="129"/>
    </row>
    <row r="148" spans="1:10" ht="12" customHeight="1" x14ac:dyDescent="0.2">
      <c r="A148" s="129"/>
      <c r="B148" s="129"/>
      <c r="C148" s="129"/>
      <c r="D148" s="129"/>
      <c r="E148" s="129"/>
      <c r="F148" s="129"/>
      <c r="G148" s="129"/>
      <c r="H148" s="129"/>
      <c r="I148" s="129"/>
      <c r="J148" s="129"/>
    </row>
    <row r="149" spans="1:10" x14ac:dyDescent="0.2">
      <c r="A149" s="183" t="s">
        <v>415</v>
      </c>
      <c r="B149" s="183"/>
      <c r="C149" s="183"/>
      <c r="D149" s="183"/>
      <c r="E149" s="183"/>
      <c r="F149" s="183"/>
      <c r="G149" s="183"/>
      <c r="H149" s="183"/>
      <c r="I149" s="183"/>
      <c r="J149" s="183"/>
    </row>
    <row r="150" spans="1:10" ht="23.25" customHeight="1" x14ac:dyDescent="0.2">
      <c r="A150" s="451" t="s">
        <v>1304</v>
      </c>
      <c r="B150" s="451"/>
      <c r="C150" s="451"/>
      <c r="D150" s="451"/>
      <c r="E150" s="451"/>
      <c r="F150" s="451"/>
      <c r="G150" s="451"/>
      <c r="H150" s="451"/>
      <c r="I150" s="451"/>
      <c r="J150" s="451"/>
    </row>
    <row r="151" spans="1:10" x14ac:dyDescent="0.2">
      <c r="A151" s="290"/>
      <c r="B151" s="290"/>
      <c r="C151" s="290"/>
      <c r="D151" s="290"/>
      <c r="E151" s="290"/>
      <c r="F151" s="290"/>
      <c r="G151" s="290"/>
      <c r="H151" s="290"/>
      <c r="I151" s="290"/>
      <c r="J151" s="290"/>
    </row>
    <row r="152" spans="1:10" x14ac:dyDescent="0.2">
      <c r="A152" s="129"/>
      <c r="B152" s="129"/>
      <c r="C152" s="129"/>
      <c r="D152" s="129"/>
      <c r="E152" s="129"/>
      <c r="F152" s="129"/>
      <c r="G152" s="129"/>
      <c r="H152" s="129"/>
      <c r="I152" s="129"/>
      <c r="J152" s="129"/>
    </row>
    <row r="153" spans="1:10" ht="22.5" x14ac:dyDescent="0.2">
      <c r="A153" s="180" t="s">
        <v>315</v>
      </c>
      <c r="B153" s="180"/>
      <c r="C153" s="180"/>
      <c r="D153" s="180"/>
      <c r="E153" s="180"/>
      <c r="F153" s="184" t="s">
        <v>2995</v>
      </c>
      <c r="G153" s="184" t="s">
        <v>2996</v>
      </c>
      <c r="H153" s="184" t="s">
        <v>2997</v>
      </c>
      <c r="I153" s="184" t="s">
        <v>2998</v>
      </c>
      <c r="J153" s="184" t="s">
        <v>2999</v>
      </c>
    </row>
    <row r="154" spans="1:10" x14ac:dyDescent="0.2">
      <c r="A154" s="180" t="s">
        <v>316</v>
      </c>
      <c r="B154" s="180"/>
      <c r="C154" s="180"/>
      <c r="D154" s="180"/>
      <c r="E154" s="180"/>
      <c r="F154" s="180"/>
      <c r="G154" s="180"/>
      <c r="H154" s="180"/>
      <c r="I154" s="180"/>
      <c r="J154" s="180"/>
    </row>
    <row r="155" spans="1:10" ht="24" customHeight="1" x14ac:dyDescent="0.2">
      <c r="A155" s="451" t="s">
        <v>1305</v>
      </c>
      <c r="B155" s="451"/>
      <c r="C155" s="451"/>
      <c r="D155" s="451"/>
      <c r="E155" s="451"/>
      <c r="F155" s="272"/>
      <c r="G155" s="191">
        <v>10</v>
      </c>
      <c r="H155" s="191">
        <v>12</v>
      </c>
      <c r="I155" s="191">
        <v>12</v>
      </c>
      <c r="J155" s="191">
        <v>12</v>
      </c>
    </row>
    <row r="156" spans="1:10" ht="21.75" customHeight="1" x14ac:dyDescent="0.2">
      <c r="A156" s="451" t="s">
        <v>1306</v>
      </c>
      <c r="B156" s="451"/>
      <c r="C156" s="451"/>
      <c r="D156" s="451"/>
      <c r="E156" s="451"/>
      <c r="F156" s="272"/>
      <c r="G156" s="191">
        <v>14</v>
      </c>
      <c r="H156" s="191">
        <v>16</v>
      </c>
      <c r="I156" s="191">
        <v>16</v>
      </c>
      <c r="J156" s="191">
        <v>16</v>
      </c>
    </row>
    <row r="157" spans="1:10" x14ac:dyDescent="0.2">
      <c r="A157" s="306" t="s">
        <v>1307</v>
      </c>
      <c r="B157" s="306"/>
      <c r="C157" s="306"/>
      <c r="D157" s="306"/>
      <c r="E157" s="306"/>
      <c r="F157" s="272"/>
      <c r="G157" s="191">
        <v>2</v>
      </c>
      <c r="H157" s="191">
        <v>4</v>
      </c>
      <c r="I157" s="191">
        <v>3</v>
      </c>
      <c r="J157" s="191">
        <v>3</v>
      </c>
    </row>
    <row r="158" spans="1:10" x14ac:dyDescent="0.2">
      <c r="A158" s="452" t="s">
        <v>1308</v>
      </c>
      <c r="B158" s="453"/>
      <c r="C158" s="453"/>
      <c r="D158" s="453"/>
      <c r="E158" s="454"/>
      <c r="F158" s="272"/>
      <c r="G158" s="191">
        <v>7</v>
      </c>
      <c r="H158" s="191">
        <v>7</v>
      </c>
      <c r="I158" s="191">
        <v>5</v>
      </c>
      <c r="J158" s="191">
        <v>5</v>
      </c>
    </row>
    <row r="159" spans="1:10" x14ac:dyDescent="0.2">
      <c r="A159" s="188" t="s">
        <v>1309</v>
      </c>
      <c r="B159" s="188"/>
      <c r="C159" s="188"/>
      <c r="D159" s="188"/>
      <c r="E159" s="188"/>
      <c r="F159" s="272"/>
      <c r="G159" s="191">
        <v>8</v>
      </c>
      <c r="H159" s="191">
        <v>15</v>
      </c>
      <c r="I159" s="191">
        <v>20</v>
      </c>
      <c r="J159" s="191">
        <v>20</v>
      </c>
    </row>
    <row r="160" spans="1:10" x14ac:dyDescent="0.2">
      <c r="A160" s="188"/>
      <c r="B160" s="188"/>
      <c r="C160" s="188"/>
      <c r="D160" s="188"/>
      <c r="E160" s="188"/>
      <c r="F160" s="273"/>
      <c r="G160" s="190"/>
      <c r="H160" s="190"/>
      <c r="I160" s="190"/>
      <c r="J160" s="190"/>
    </row>
    <row r="161" spans="1:10" ht="24" customHeight="1" x14ac:dyDescent="0.2">
      <c r="A161" s="180" t="s">
        <v>324</v>
      </c>
      <c r="B161" s="180"/>
      <c r="C161" s="180"/>
      <c r="D161" s="180"/>
      <c r="E161" s="180"/>
      <c r="F161" s="180"/>
      <c r="G161" s="180"/>
      <c r="H161" s="180"/>
      <c r="I161" s="180"/>
      <c r="J161" s="180"/>
    </row>
    <row r="162" spans="1:10" ht="23.25" customHeight="1" x14ac:dyDescent="0.2">
      <c r="A162" s="451" t="s">
        <v>1310</v>
      </c>
      <c r="B162" s="451"/>
      <c r="C162" s="451"/>
      <c r="D162" s="451"/>
      <c r="E162" s="451"/>
      <c r="F162" s="371">
        <v>-0.1</v>
      </c>
      <c r="G162" s="426">
        <v>-0.09</v>
      </c>
      <c r="H162" s="426">
        <v>-0.08</v>
      </c>
      <c r="I162" s="426">
        <v>-0.05</v>
      </c>
      <c r="J162" s="426">
        <v>-0.05</v>
      </c>
    </row>
    <row r="163" spans="1:10" x14ac:dyDescent="0.2">
      <c r="A163" s="306" t="s">
        <v>1311</v>
      </c>
      <c r="B163" s="306"/>
      <c r="C163" s="306"/>
      <c r="D163" s="306"/>
      <c r="E163" s="306"/>
      <c r="F163" s="272"/>
      <c r="G163" s="191">
        <v>9</v>
      </c>
      <c r="H163" s="191">
        <v>4</v>
      </c>
      <c r="I163" s="191">
        <v>2</v>
      </c>
      <c r="J163" s="191">
        <v>2</v>
      </c>
    </row>
    <row r="164" spans="1:10" x14ac:dyDescent="0.2">
      <c r="A164" s="188" t="s">
        <v>1312</v>
      </c>
      <c r="B164" s="188"/>
      <c r="C164" s="188"/>
      <c r="D164" s="188"/>
      <c r="E164" s="188"/>
      <c r="F164" s="371">
        <v>0.68</v>
      </c>
      <c r="G164" s="426">
        <v>0.7</v>
      </c>
      <c r="H164" s="426">
        <v>0.75</v>
      </c>
      <c r="I164" s="426">
        <v>0.75</v>
      </c>
      <c r="J164" s="426">
        <v>0.8</v>
      </c>
    </row>
    <row r="165" spans="1:10" ht="15" customHeight="1" x14ac:dyDescent="0.2">
      <c r="A165" s="188"/>
      <c r="B165" s="188"/>
      <c r="C165" s="188"/>
      <c r="D165" s="188"/>
      <c r="E165" s="188"/>
      <c r="F165" s="273"/>
      <c r="G165" s="190"/>
      <c r="H165" s="190"/>
      <c r="I165" s="190"/>
      <c r="J165" s="190"/>
    </row>
    <row r="166" spans="1:10" ht="15" customHeight="1" x14ac:dyDescent="0.2">
      <c r="A166" s="150" t="s">
        <v>1313</v>
      </c>
      <c r="B166" s="150"/>
      <c r="C166" s="150"/>
      <c r="D166" s="150"/>
      <c r="E166" s="150"/>
      <c r="F166" s="150"/>
      <c r="G166" s="150"/>
      <c r="H166" s="150"/>
      <c r="I166" s="150"/>
      <c r="J166" s="150"/>
    </row>
    <row r="167" spans="1:10" x14ac:dyDescent="0.2">
      <c r="A167" s="389" t="s">
        <v>291</v>
      </c>
      <c r="B167" s="389"/>
      <c r="C167" s="389"/>
      <c r="D167" s="455"/>
      <c r="E167" s="455"/>
      <c r="F167" s="455"/>
      <c r="G167" s="455"/>
      <c r="H167" s="455"/>
      <c r="I167" s="455"/>
      <c r="J167" s="455"/>
    </row>
    <row r="168" spans="1:10" x14ac:dyDescent="0.2">
      <c r="A168" s="129" t="s">
        <v>1314</v>
      </c>
      <c r="B168" s="129"/>
      <c r="C168" s="129"/>
      <c r="D168" s="129"/>
      <c r="E168" s="129"/>
      <c r="F168" s="129"/>
      <c r="G168" s="129"/>
      <c r="H168" s="129"/>
      <c r="I168" s="129"/>
      <c r="J168" s="129"/>
    </row>
    <row r="169" spans="1:10" x14ac:dyDescent="0.2">
      <c r="A169" s="128" t="s">
        <v>293</v>
      </c>
      <c r="B169" s="128"/>
      <c r="C169" s="128"/>
      <c r="D169" s="128"/>
      <c r="E169" s="128"/>
      <c r="F169" s="128"/>
      <c r="G169" s="128"/>
      <c r="H169" s="128"/>
      <c r="I169" s="128"/>
      <c r="J169" s="128"/>
    </row>
    <row r="170" spans="1:10" ht="33.75" x14ac:dyDescent="0.2">
      <c r="A170" s="152" t="s">
        <v>243</v>
      </c>
      <c r="B170" s="151" t="s">
        <v>242</v>
      </c>
      <c r="C170" s="151"/>
      <c r="D170" s="151"/>
      <c r="E170" s="132" t="str">
        <f t="shared" ref="E170:J170" si="36">E37</f>
        <v>Actuals           2014-2015</v>
      </c>
      <c r="F170" s="132" t="str">
        <f t="shared" si="36"/>
        <v>Approved Estimates          2015-2016</v>
      </c>
      <c r="G170" s="132" t="str">
        <f t="shared" si="36"/>
        <v>Revised Estimates                 2015-2016</v>
      </c>
      <c r="H170" s="132" t="str">
        <f t="shared" si="36"/>
        <v>Budget Estimates      2016-2017</v>
      </c>
      <c r="I170" s="132" t="str">
        <f t="shared" si="36"/>
        <v>Forward Estimates     2017-2018</v>
      </c>
      <c r="J170" s="132" t="str">
        <f t="shared" si="36"/>
        <v>Forward Estimates     2018-2019</v>
      </c>
    </row>
    <row r="171" spans="1:10" x14ac:dyDescent="0.2">
      <c r="A171" s="207">
        <v>130</v>
      </c>
      <c r="B171" s="129" t="s">
        <v>1315</v>
      </c>
      <c r="C171" s="129" t="s">
        <v>1315</v>
      </c>
      <c r="D171" s="129" t="s">
        <v>1315</v>
      </c>
      <c r="E171" s="211">
        <v>0</v>
      </c>
      <c r="F171" s="211">
        <v>0</v>
      </c>
      <c r="G171" s="211">
        <v>0</v>
      </c>
      <c r="H171" s="210">
        <v>0</v>
      </c>
      <c r="I171" s="211">
        <v>0</v>
      </c>
      <c r="J171" s="211">
        <v>0</v>
      </c>
    </row>
    <row r="172" spans="1:10" x14ac:dyDescent="0.2">
      <c r="A172" s="207">
        <v>160</v>
      </c>
      <c r="B172" s="129" t="s">
        <v>1316</v>
      </c>
      <c r="C172" s="129" t="s">
        <v>1316</v>
      </c>
      <c r="D172" s="129" t="s">
        <v>1316</v>
      </c>
      <c r="E172" s="211">
        <v>0</v>
      </c>
      <c r="F172" s="211">
        <v>0</v>
      </c>
      <c r="G172" s="211">
        <v>0</v>
      </c>
      <c r="H172" s="210">
        <v>0</v>
      </c>
      <c r="I172" s="211">
        <v>0</v>
      </c>
      <c r="J172" s="211">
        <v>0</v>
      </c>
    </row>
    <row r="173" spans="1:10" x14ac:dyDescent="0.2">
      <c r="A173" s="207">
        <v>160</v>
      </c>
      <c r="B173" s="129" t="s">
        <v>1317</v>
      </c>
      <c r="C173" s="129" t="s">
        <v>1317</v>
      </c>
      <c r="D173" s="129" t="s">
        <v>1317</v>
      </c>
      <c r="E173" s="211">
        <v>7459.2999999999993</v>
      </c>
      <c r="F173" s="211">
        <v>10000</v>
      </c>
      <c r="G173" s="211">
        <v>8400</v>
      </c>
      <c r="H173" s="210">
        <v>10000</v>
      </c>
      <c r="I173" s="211">
        <v>10000</v>
      </c>
      <c r="J173" s="211">
        <v>10000</v>
      </c>
    </row>
    <row r="174" spans="1:10" x14ac:dyDescent="0.2">
      <c r="A174" s="207">
        <v>160</v>
      </c>
      <c r="B174" s="129" t="s">
        <v>1318</v>
      </c>
      <c r="C174" s="129" t="s">
        <v>1318</v>
      </c>
      <c r="D174" s="129" t="s">
        <v>1318</v>
      </c>
      <c r="E174" s="211">
        <v>11815</v>
      </c>
      <c r="F174" s="211">
        <v>15000</v>
      </c>
      <c r="G174" s="211">
        <v>9500</v>
      </c>
      <c r="H174" s="210">
        <v>15000</v>
      </c>
      <c r="I174" s="211">
        <v>15000</v>
      </c>
      <c r="J174" s="211">
        <v>15000</v>
      </c>
    </row>
    <row r="175" spans="1:10" x14ac:dyDescent="0.2">
      <c r="A175" s="207">
        <v>160</v>
      </c>
      <c r="B175" s="129" t="s">
        <v>1319</v>
      </c>
      <c r="C175" s="129" t="s">
        <v>1319</v>
      </c>
      <c r="D175" s="129" t="s">
        <v>1319</v>
      </c>
      <c r="E175" s="211">
        <v>5820</v>
      </c>
      <c r="F175" s="211">
        <v>4000</v>
      </c>
      <c r="G175" s="211">
        <v>5500</v>
      </c>
      <c r="H175" s="210">
        <v>4000</v>
      </c>
      <c r="I175" s="211">
        <v>4000</v>
      </c>
      <c r="J175" s="211">
        <v>4000</v>
      </c>
    </row>
    <row r="176" spans="1:10" ht="14.25" customHeight="1" x14ac:dyDescent="0.2">
      <c r="A176" s="456">
        <v>160</v>
      </c>
      <c r="B176" s="457" t="s">
        <v>1320</v>
      </c>
      <c r="C176" s="458"/>
      <c r="D176" s="459"/>
      <c r="E176" s="460">
        <v>0</v>
      </c>
      <c r="F176" s="460">
        <v>0</v>
      </c>
      <c r="G176" s="460">
        <v>0</v>
      </c>
      <c r="H176" s="461">
        <v>20000</v>
      </c>
      <c r="I176" s="460">
        <v>20000</v>
      </c>
      <c r="J176" s="460">
        <v>20000</v>
      </c>
    </row>
    <row r="177" spans="1:10" x14ac:dyDescent="0.2">
      <c r="A177" s="207">
        <v>160</v>
      </c>
      <c r="B177" s="129" t="s">
        <v>466</v>
      </c>
      <c r="C177" s="129" t="s">
        <v>466</v>
      </c>
      <c r="D177" s="129" t="s">
        <v>466</v>
      </c>
      <c r="E177" s="211">
        <v>23789.389999999992</v>
      </c>
      <c r="F177" s="211">
        <v>20000</v>
      </c>
      <c r="G177" s="211">
        <v>21900</v>
      </c>
      <c r="H177" s="210">
        <v>20000</v>
      </c>
      <c r="I177" s="211">
        <v>20000</v>
      </c>
      <c r="J177" s="211">
        <v>20000</v>
      </c>
    </row>
    <row r="178" spans="1:10" x14ac:dyDescent="0.2">
      <c r="A178" s="137" t="s">
        <v>1274</v>
      </c>
      <c r="B178" s="137"/>
      <c r="C178" s="137"/>
      <c r="D178" s="137"/>
      <c r="E178" s="138">
        <f t="shared" ref="E178:J178" si="37">SUM(E171:E177)</f>
        <v>48883.689999999988</v>
      </c>
      <c r="F178" s="138">
        <f t="shared" si="37"/>
        <v>49000</v>
      </c>
      <c r="G178" s="138">
        <f t="shared" si="37"/>
        <v>45300</v>
      </c>
      <c r="H178" s="138">
        <f t="shared" si="37"/>
        <v>69000</v>
      </c>
      <c r="I178" s="138">
        <f t="shared" si="37"/>
        <v>69000</v>
      </c>
      <c r="J178" s="138">
        <f t="shared" si="37"/>
        <v>69000</v>
      </c>
    </row>
    <row r="179" spans="1:10" ht="15" customHeight="1" x14ac:dyDescent="0.2">
      <c r="A179" s="129"/>
      <c r="B179" s="129"/>
      <c r="C179" s="129"/>
      <c r="D179" s="129"/>
      <c r="E179" s="129"/>
      <c r="F179" s="129"/>
      <c r="G179" s="129"/>
      <c r="H179" s="129"/>
      <c r="I179" s="129"/>
      <c r="J179" s="129"/>
    </row>
    <row r="180" spans="1:10" ht="15" customHeight="1" x14ac:dyDescent="0.2">
      <c r="A180" s="128" t="s">
        <v>284</v>
      </c>
      <c r="B180" s="128"/>
      <c r="C180" s="128"/>
      <c r="D180" s="128"/>
      <c r="E180" s="128"/>
      <c r="F180" s="128"/>
      <c r="G180" s="128"/>
      <c r="H180" s="128"/>
      <c r="I180" s="128"/>
      <c r="J180" s="128"/>
    </row>
    <row r="181" spans="1:10" ht="33.75" x14ac:dyDescent="0.2">
      <c r="A181" s="152" t="s">
        <v>243</v>
      </c>
      <c r="B181" s="151" t="s">
        <v>242</v>
      </c>
      <c r="C181" s="151"/>
      <c r="D181" s="151"/>
      <c r="E181" s="132" t="str">
        <f t="shared" ref="E181:J181" si="38">E37</f>
        <v>Actuals           2014-2015</v>
      </c>
      <c r="F181" s="132" t="str">
        <f t="shared" si="38"/>
        <v>Approved Estimates          2015-2016</v>
      </c>
      <c r="G181" s="132" t="str">
        <f t="shared" si="38"/>
        <v>Revised Estimates                 2015-2016</v>
      </c>
      <c r="H181" s="132" t="str">
        <f t="shared" si="38"/>
        <v>Budget Estimates      2016-2017</v>
      </c>
      <c r="I181" s="132" t="str">
        <f t="shared" si="38"/>
        <v>Forward Estimates     2017-2018</v>
      </c>
      <c r="J181" s="132" t="str">
        <f t="shared" si="38"/>
        <v>Forward Estimates     2018-2019</v>
      </c>
    </row>
    <row r="182" spans="1:10" ht="15" customHeight="1" x14ac:dyDescent="0.2">
      <c r="A182" s="151" t="s">
        <v>7</v>
      </c>
      <c r="B182" s="151"/>
      <c r="C182" s="151"/>
      <c r="D182" s="151"/>
      <c r="E182" s="151"/>
      <c r="F182" s="151"/>
      <c r="G182" s="151"/>
      <c r="H182" s="151"/>
      <c r="I182" s="151"/>
      <c r="J182" s="190"/>
    </row>
    <row r="183" spans="1:10" ht="15" customHeight="1" x14ac:dyDescent="0.2">
      <c r="A183" s="207">
        <v>210</v>
      </c>
      <c r="B183" s="129" t="s">
        <v>7</v>
      </c>
      <c r="C183" s="129"/>
      <c r="D183" s="129"/>
      <c r="E183" s="211">
        <v>989541.55</v>
      </c>
      <c r="F183" s="209">
        <v>1081800</v>
      </c>
      <c r="G183" s="211">
        <v>1069200</v>
      </c>
      <c r="H183" s="210">
        <v>981900</v>
      </c>
      <c r="I183" s="211">
        <v>1007800</v>
      </c>
      <c r="J183" s="211">
        <v>1019500</v>
      </c>
    </row>
    <row r="184" spans="1:10" ht="15" customHeight="1" x14ac:dyDescent="0.2">
      <c r="A184" s="207">
        <v>212</v>
      </c>
      <c r="B184" s="129" t="s">
        <v>9</v>
      </c>
      <c r="C184" s="129"/>
      <c r="D184" s="129"/>
      <c r="E184" s="211">
        <v>0</v>
      </c>
      <c r="F184" s="209">
        <v>0</v>
      </c>
      <c r="G184" s="211">
        <v>0</v>
      </c>
      <c r="H184" s="210">
        <v>0</v>
      </c>
      <c r="I184" s="211">
        <v>0</v>
      </c>
      <c r="J184" s="211">
        <v>0</v>
      </c>
    </row>
    <row r="185" spans="1:10" ht="14.25" customHeight="1" x14ac:dyDescent="0.2">
      <c r="A185" s="207">
        <v>216</v>
      </c>
      <c r="B185" s="129" t="s">
        <v>10</v>
      </c>
      <c r="C185" s="129"/>
      <c r="D185" s="129"/>
      <c r="E185" s="211">
        <v>107060</v>
      </c>
      <c r="F185" s="209">
        <v>109100</v>
      </c>
      <c r="G185" s="211">
        <v>109100</v>
      </c>
      <c r="H185" s="210">
        <v>160100</v>
      </c>
      <c r="I185" s="211">
        <v>162500</v>
      </c>
      <c r="J185" s="211">
        <v>162500</v>
      </c>
    </row>
    <row r="186" spans="1:10" ht="14.25" customHeight="1" x14ac:dyDescent="0.2">
      <c r="A186" s="207">
        <v>218</v>
      </c>
      <c r="B186" s="129" t="s">
        <v>294</v>
      </c>
      <c r="C186" s="129"/>
      <c r="D186" s="129"/>
      <c r="E186" s="211">
        <v>0</v>
      </c>
      <c r="F186" s="209">
        <v>30800</v>
      </c>
      <c r="G186" s="211">
        <v>32800</v>
      </c>
      <c r="H186" s="210">
        <v>0</v>
      </c>
      <c r="I186" s="211">
        <v>16200</v>
      </c>
      <c r="J186" s="211">
        <v>0</v>
      </c>
    </row>
    <row r="187" spans="1:10" ht="15" customHeight="1" x14ac:dyDescent="0.2">
      <c r="A187" s="156" t="s">
        <v>295</v>
      </c>
      <c r="B187" s="156"/>
      <c r="C187" s="156"/>
      <c r="D187" s="156"/>
      <c r="E187" s="157">
        <f t="shared" ref="E187:J187" si="39">SUM(E183:E186)</f>
        <v>1096601.55</v>
      </c>
      <c r="F187" s="157">
        <f t="shared" si="39"/>
        <v>1221700</v>
      </c>
      <c r="G187" s="157">
        <f t="shared" si="39"/>
        <v>1211100</v>
      </c>
      <c r="H187" s="157">
        <f t="shared" si="39"/>
        <v>1142000</v>
      </c>
      <c r="I187" s="157">
        <f t="shared" si="39"/>
        <v>1186500</v>
      </c>
      <c r="J187" s="157">
        <f t="shared" si="39"/>
        <v>1182000</v>
      </c>
    </row>
    <row r="188" spans="1:10" ht="15" customHeight="1" x14ac:dyDescent="0.2">
      <c r="A188" s="156" t="s">
        <v>296</v>
      </c>
      <c r="B188" s="196"/>
      <c r="C188" s="196"/>
      <c r="D188" s="196"/>
      <c r="E188" s="156"/>
      <c r="F188" s="156"/>
      <c r="G188" s="156"/>
      <c r="H188" s="156"/>
      <c r="I188" s="156"/>
      <c r="J188" s="190"/>
    </row>
    <row r="189" spans="1:10" ht="14.25" customHeight="1" x14ac:dyDescent="0.2">
      <c r="A189" s="416">
        <v>228</v>
      </c>
      <c r="B189" s="381" t="s">
        <v>208</v>
      </c>
      <c r="C189" s="462"/>
      <c r="D189" s="195"/>
      <c r="E189" s="417">
        <v>9965.7099999999991</v>
      </c>
      <c r="F189" s="211">
        <v>10000</v>
      </c>
      <c r="G189" s="211">
        <v>10000</v>
      </c>
      <c r="H189" s="210">
        <f>10000+20000</f>
        <v>30000</v>
      </c>
      <c r="I189" s="211">
        <f t="shared" ref="I189:J189" si="40">10000+20000</f>
        <v>30000</v>
      </c>
      <c r="J189" s="211">
        <f t="shared" si="40"/>
        <v>30000</v>
      </c>
    </row>
    <row r="190" spans="1:10" ht="14.25" customHeight="1" x14ac:dyDescent="0.2">
      <c r="A190" s="207">
        <v>230</v>
      </c>
      <c r="B190" s="381" t="s">
        <v>210</v>
      </c>
      <c r="C190" s="462"/>
      <c r="D190" s="195"/>
      <c r="E190" s="211">
        <v>6442.5</v>
      </c>
      <c r="F190" s="211">
        <v>8000</v>
      </c>
      <c r="G190" s="211">
        <v>8000</v>
      </c>
      <c r="H190" s="210">
        <f>8000+25000</f>
        <v>33000</v>
      </c>
      <c r="I190" s="211">
        <v>8000</v>
      </c>
      <c r="J190" s="211">
        <v>8000</v>
      </c>
    </row>
    <row r="191" spans="1:10" ht="14.25" customHeight="1" x14ac:dyDescent="0.2">
      <c r="A191" s="207">
        <v>232</v>
      </c>
      <c r="B191" s="381" t="s">
        <v>211</v>
      </c>
      <c r="C191" s="462"/>
      <c r="D191" s="195"/>
      <c r="E191" s="211">
        <v>79990.259999999995</v>
      </c>
      <c r="F191" s="211">
        <v>120000</v>
      </c>
      <c r="G191" s="211">
        <v>99700</v>
      </c>
      <c r="H191" s="210">
        <f>120000+30000</f>
        <v>150000</v>
      </c>
      <c r="I191" s="211">
        <f t="shared" ref="I191:J191" si="41">120000+30000</f>
        <v>150000</v>
      </c>
      <c r="J191" s="211">
        <f t="shared" si="41"/>
        <v>150000</v>
      </c>
    </row>
    <row r="192" spans="1:10" ht="14.25" customHeight="1" x14ac:dyDescent="0.2">
      <c r="A192" s="207">
        <v>236</v>
      </c>
      <c r="B192" s="381" t="s">
        <v>1321</v>
      </c>
      <c r="C192" s="462"/>
      <c r="D192" s="195"/>
      <c r="E192" s="211">
        <v>0</v>
      </c>
      <c r="F192" s="211">
        <v>80000</v>
      </c>
      <c r="G192" s="211">
        <v>65000</v>
      </c>
      <c r="H192" s="210">
        <f>20000+45000</f>
        <v>65000</v>
      </c>
      <c r="I192" s="211">
        <f t="shared" ref="I192:J192" si="42">20000+45000</f>
        <v>65000</v>
      </c>
      <c r="J192" s="211">
        <f t="shared" si="42"/>
        <v>65000</v>
      </c>
    </row>
    <row r="193" spans="1:10" ht="14.25" customHeight="1" x14ac:dyDescent="0.2">
      <c r="A193" s="207">
        <v>273</v>
      </c>
      <c r="B193" s="381" t="s">
        <v>226</v>
      </c>
      <c r="C193" s="462"/>
      <c r="D193" s="195"/>
      <c r="E193" s="211">
        <v>258778.51</v>
      </c>
      <c r="F193" s="211">
        <v>260000</v>
      </c>
      <c r="G193" s="211">
        <v>220000</v>
      </c>
      <c r="H193" s="210">
        <v>255000</v>
      </c>
      <c r="I193" s="211">
        <v>255000</v>
      </c>
      <c r="J193" s="211">
        <v>255000</v>
      </c>
    </row>
    <row r="194" spans="1:10" ht="14.25" customHeight="1" x14ac:dyDescent="0.2">
      <c r="A194" s="207">
        <v>275</v>
      </c>
      <c r="B194" s="381" t="s">
        <v>228</v>
      </c>
      <c r="C194" s="462"/>
      <c r="D194" s="195"/>
      <c r="E194" s="211">
        <v>1747.01</v>
      </c>
      <c r="F194" s="211">
        <v>2000</v>
      </c>
      <c r="G194" s="211">
        <v>2000</v>
      </c>
      <c r="H194" s="210">
        <v>3000</v>
      </c>
      <c r="I194" s="211">
        <v>3000</v>
      </c>
      <c r="J194" s="211">
        <v>3000</v>
      </c>
    </row>
    <row r="195" spans="1:10" ht="15" customHeight="1" x14ac:dyDescent="0.2">
      <c r="A195" s="156" t="s">
        <v>298</v>
      </c>
      <c r="B195" s="156"/>
      <c r="C195" s="156"/>
      <c r="D195" s="156"/>
      <c r="E195" s="157">
        <f t="shared" ref="E195:J195" si="43">SUM(E189:E194)</f>
        <v>356923.99</v>
      </c>
      <c r="F195" s="264">
        <f t="shared" si="43"/>
        <v>480000</v>
      </c>
      <c r="G195" s="157">
        <f t="shared" si="43"/>
        <v>404700</v>
      </c>
      <c r="H195" s="157">
        <f t="shared" si="43"/>
        <v>536000</v>
      </c>
      <c r="I195" s="157">
        <f t="shared" si="43"/>
        <v>511000</v>
      </c>
      <c r="J195" s="157">
        <f t="shared" si="43"/>
        <v>511000</v>
      </c>
    </row>
    <row r="196" spans="1:10" x14ac:dyDescent="0.2">
      <c r="A196" s="159" t="s">
        <v>299</v>
      </c>
      <c r="B196" s="159"/>
      <c r="C196" s="159"/>
      <c r="D196" s="159"/>
      <c r="E196" s="160">
        <f t="shared" ref="E196:J196" si="44">SUM(E187,E195)</f>
        <v>1453525.54</v>
      </c>
      <c r="F196" s="160">
        <f t="shared" si="44"/>
        <v>1701700</v>
      </c>
      <c r="G196" s="160">
        <f t="shared" si="44"/>
        <v>1615800</v>
      </c>
      <c r="H196" s="160">
        <f t="shared" si="44"/>
        <v>1678000</v>
      </c>
      <c r="I196" s="160">
        <f t="shared" si="44"/>
        <v>1697500</v>
      </c>
      <c r="J196" s="160">
        <f t="shared" si="44"/>
        <v>1693000</v>
      </c>
    </row>
    <row r="197" spans="1:10" ht="15" customHeight="1" x14ac:dyDescent="0.2">
      <c r="A197" s="289"/>
      <c r="B197" s="289"/>
      <c r="C197" s="289"/>
      <c r="D197" s="289"/>
      <c r="E197" s="289"/>
      <c r="F197" s="289"/>
      <c r="G197" s="289"/>
      <c r="H197" s="289"/>
      <c r="I197" s="289"/>
      <c r="J197" s="289"/>
    </row>
    <row r="198" spans="1:10" ht="17.25" customHeight="1" x14ac:dyDescent="0.2">
      <c r="A198" s="162" t="s">
        <v>15</v>
      </c>
      <c r="B198" s="162"/>
      <c r="C198" s="162"/>
      <c r="D198" s="162"/>
      <c r="E198" s="162"/>
      <c r="F198" s="162"/>
      <c r="G198" s="162"/>
      <c r="H198" s="162"/>
      <c r="I198" s="162"/>
      <c r="J198" s="162"/>
    </row>
    <row r="199" spans="1:10" ht="18" customHeight="1" x14ac:dyDescent="0.2">
      <c r="A199" s="131" t="s">
        <v>242</v>
      </c>
      <c r="B199" s="131"/>
      <c r="C199" s="131"/>
      <c r="D199" s="131"/>
      <c r="E199" s="128" t="str">
        <f t="shared" ref="E199:J199" si="45">E37</f>
        <v>Actuals           2014-2015</v>
      </c>
      <c r="F199" s="128" t="str">
        <f t="shared" si="45"/>
        <v>Approved Estimates          2015-2016</v>
      </c>
      <c r="G199" s="128" t="str">
        <f t="shared" si="45"/>
        <v>Revised Estimates                 2015-2016</v>
      </c>
      <c r="H199" s="128" t="str">
        <f t="shared" si="45"/>
        <v>Budget Estimates      2016-2017</v>
      </c>
      <c r="I199" s="128" t="str">
        <f t="shared" si="45"/>
        <v>Forward Estimates     2017-2018</v>
      </c>
      <c r="J199" s="128" t="str">
        <f t="shared" si="45"/>
        <v>Forward Estimates     2018-2019</v>
      </c>
    </row>
    <row r="200" spans="1:10" x14ac:dyDescent="0.2">
      <c r="A200" s="130" t="s">
        <v>243</v>
      </c>
      <c r="B200" s="130" t="s">
        <v>244</v>
      </c>
      <c r="C200" s="131" t="s">
        <v>245</v>
      </c>
      <c r="D200" s="131"/>
      <c r="E200" s="101"/>
      <c r="F200" s="101"/>
      <c r="G200" s="101"/>
      <c r="H200" s="101"/>
      <c r="I200" s="101"/>
      <c r="J200" s="101"/>
    </row>
    <row r="201" spans="1:10" x14ac:dyDescent="0.2">
      <c r="A201" s="163"/>
      <c r="B201" s="163"/>
      <c r="C201" s="156"/>
      <c r="D201" s="156"/>
      <c r="E201" s="158"/>
      <c r="F201" s="209"/>
      <c r="G201" s="158"/>
      <c r="H201" s="136"/>
      <c r="I201" s="158"/>
      <c r="J201" s="135"/>
    </row>
    <row r="202" spans="1:10" ht="15" customHeight="1" x14ac:dyDescent="0.2">
      <c r="A202" s="163"/>
      <c r="B202" s="163"/>
      <c r="C202" s="156"/>
      <c r="D202" s="156"/>
      <c r="E202" s="158"/>
      <c r="F202" s="209"/>
      <c r="G202" s="158"/>
      <c r="H202" s="136"/>
      <c r="I202" s="158"/>
      <c r="J202" s="135"/>
    </row>
    <row r="203" spans="1:10" x14ac:dyDescent="0.2">
      <c r="A203" s="137" t="s">
        <v>15</v>
      </c>
      <c r="B203" s="137"/>
      <c r="C203" s="137"/>
      <c r="D203" s="137"/>
      <c r="E203" s="138">
        <v>0</v>
      </c>
      <c r="F203" s="138">
        <v>0</v>
      </c>
      <c r="G203" s="138">
        <v>0</v>
      </c>
      <c r="H203" s="138">
        <v>0</v>
      </c>
      <c r="I203" s="138">
        <v>0</v>
      </c>
      <c r="J203" s="138">
        <v>0</v>
      </c>
    </row>
    <row r="204" spans="1:10" x14ac:dyDescent="0.2">
      <c r="A204" s="129"/>
      <c r="B204" s="129"/>
      <c r="C204" s="129"/>
      <c r="D204" s="129"/>
      <c r="E204" s="129"/>
      <c r="F204" s="129"/>
      <c r="G204" s="129"/>
      <c r="H204" s="129"/>
      <c r="I204" s="129"/>
      <c r="J204" s="129"/>
    </row>
    <row r="205" spans="1:10" ht="15" customHeight="1" x14ac:dyDescent="0.2">
      <c r="A205" s="161" t="s">
        <v>288</v>
      </c>
      <c r="B205" s="161"/>
      <c r="C205" s="161"/>
      <c r="D205" s="161"/>
      <c r="E205" s="161"/>
      <c r="F205" s="161"/>
      <c r="G205" s="161"/>
      <c r="H205" s="161"/>
      <c r="I205" s="161"/>
      <c r="J205" s="161"/>
    </row>
    <row r="206" spans="1:10" ht="15" customHeight="1" x14ac:dyDescent="0.2">
      <c r="A206" s="131" t="s">
        <v>300</v>
      </c>
      <c r="B206" s="131"/>
      <c r="C206" s="131"/>
      <c r="D206" s="132" t="s">
        <v>301</v>
      </c>
      <c r="E206" s="132" t="s">
        <v>302</v>
      </c>
      <c r="F206" s="131" t="s">
        <v>300</v>
      </c>
      <c r="G206" s="131"/>
      <c r="H206" s="131"/>
      <c r="I206" s="132" t="s">
        <v>301</v>
      </c>
      <c r="J206" s="132" t="s">
        <v>302</v>
      </c>
    </row>
    <row r="207" spans="1:10" ht="15" customHeight="1" x14ac:dyDescent="0.2">
      <c r="A207" s="334" t="str">
        <f>Establishment!D326</f>
        <v>Director</v>
      </c>
      <c r="B207" s="334"/>
      <c r="C207" s="334"/>
      <c r="D207" s="133" t="str">
        <f>Establishment!E326</f>
        <v>R7</v>
      </c>
      <c r="E207" s="133">
        <f>Establishment!C326</f>
        <v>1</v>
      </c>
      <c r="F207" s="334" t="str">
        <f>Establishment!D336</f>
        <v>Extension &amp; Irrigation Technician</v>
      </c>
      <c r="G207" s="334"/>
      <c r="H207" s="334"/>
      <c r="I207" s="133" t="str">
        <f>Establishment!E336</f>
        <v>R33-29/R28-22</v>
      </c>
      <c r="J207" s="133">
        <f>Establishment!C336</f>
        <v>1</v>
      </c>
    </row>
    <row r="208" spans="1:10" ht="15" customHeight="1" x14ac:dyDescent="0.2">
      <c r="A208" s="334" t="str">
        <f>Establishment!D327</f>
        <v>Chief Veterinary Officer</v>
      </c>
      <c r="B208" s="334"/>
      <c r="C208" s="334"/>
      <c r="D208" s="133" t="str">
        <f>Establishment!E327</f>
        <v>R12-8</v>
      </c>
      <c r="E208" s="133">
        <f>Establishment!C327</f>
        <v>1</v>
      </c>
      <c r="F208" s="334" t="str">
        <f>Establishment!D337</f>
        <v>Animal Husbandry Technician</v>
      </c>
      <c r="G208" s="334"/>
      <c r="H208" s="334"/>
      <c r="I208" s="133" t="str">
        <f>Establishment!E337</f>
        <v>R33-29/R28-22</v>
      </c>
      <c r="J208" s="133">
        <f>Establishment!C337</f>
        <v>1</v>
      </c>
    </row>
    <row r="209" spans="1:10" ht="21.75" customHeight="1" x14ac:dyDescent="0.2">
      <c r="A209" s="334" t="str">
        <f>Establishment!D328</f>
        <v>Chief Fisheries (Ocean Governance) Officer</v>
      </c>
      <c r="B209" s="334"/>
      <c r="C209" s="334"/>
      <c r="D209" s="133" t="str">
        <f>Establishment!E328</f>
        <v>R17-13/R14-10</v>
      </c>
      <c r="E209" s="133">
        <f>Establishment!C328</f>
        <v>1</v>
      </c>
      <c r="F209" s="334" t="str">
        <f>Establishment!D338</f>
        <v>Clerical Officer (Snr)</v>
      </c>
      <c r="G209" s="334"/>
      <c r="H209" s="334"/>
      <c r="I209" s="133" t="str">
        <f>Establishment!E338</f>
        <v>R33-29</v>
      </c>
      <c r="J209" s="133">
        <f>Establishment!C338</f>
        <v>1</v>
      </c>
    </row>
    <row r="210" spans="1:10" ht="15" customHeight="1" x14ac:dyDescent="0.2">
      <c r="A210" s="334" t="str">
        <f>Establishment!D329</f>
        <v>Veterinary Officer</v>
      </c>
      <c r="B210" s="334"/>
      <c r="C210" s="334"/>
      <c r="D210" s="133" t="str">
        <f>Establishment!E329</f>
        <v>R17-13</v>
      </c>
      <c r="E210" s="133">
        <f>Establishment!C329</f>
        <v>1</v>
      </c>
      <c r="F210" s="334" t="str">
        <f>Establishment!D339</f>
        <v>Clerical Officer</v>
      </c>
      <c r="G210" s="334"/>
      <c r="H210" s="334"/>
      <c r="I210" s="133" t="str">
        <f>Establishment!E339</f>
        <v>R46-34</v>
      </c>
      <c r="J210" s="133">
        <f>Establishment!C339</f>
        <v>1</v>
      </c>
    </row>
    <row r="211" spans="1:10" ht="15" customHeight="1" x14ac:dyDescent="0.2">
      <c r="A211" s="334" t="str">
        <f>Establishment!D330</f>
        <v>Veterinary Assistant (Snr)</v>
      </c>
      <c r="B211" s="334"/>
      <c r="C211" s="334"/>
      <c r="D211" s="133" t="str">
        <f>Establishment!E330</f>
        <v>R22-16</v>
      </c>
      <c r="E211" s="133">
        <f>Establishment!C330</f>
        <v>1</v>
      </c>
      <c r="F211" s="334" t="str">
        <f>Establishment!D340</f>
        <v>Animal Husbandry Assistant</v>
      </c>
      <c r="G211" s="334"/>
      <c r="H211" s="334"/>
      <c r="I211" s="133" t="str">
        <f>Establishment!E340</f>
        <v>R46-34</v>
      </c>
      <c r="J211" s="133">
        <f>Establishment!C340</f>
        <v>4</v>
      </c>
    </row>
    <row r="212" spans="1:10" ht="15" customHeight="1" x14ac:dyDescent="0.2">
      <c r="A212" s="334" t="str">
        <f>Establishment!D331</f>
        <v>Principal Agricultural Officer</v>
      </c>
      <c r="B212" s="334"/>
      <c r="C212" s="334"/>
      <c r="D212" s="133" t="str">
        <f>Establishment!E331</f>
        <v>R22-16</v>
      </c>
      <c r="E212" s="133">
        <f>Establishment!C331</f>
        <v>1</v>
      </c>
      <c r="F212" s="334" t="str">
        <f>Establishment!D341</f>
        <v>Data Collector</v>
      </c>
      <c r="G212" s="334"/>
      <c r="H212" s="334"/>
      <c r="I212" s="133" t="str">
        <f>Establishment!E341</f>
        <v>R46-34</v>
      </c>
      <c r="J212" s="133">
        <f>Establishment!C341</f>
        <v>2</v>
      </c>
    </row>
    <row r="213" spans="1:10" ht="15" customHeight="1" x14ac:dyDescent="0.2">
      <c r="A213" s="334" t="str">
        <f>Establishment!D332</f>
        <v>Agricultural Officer</v>
      </c>
      <c r="B213" s="334"/>
      <c r="C213" s="334"/>
      <c r="D213" s="133" t="str">
        <f>Establishment!E332</f>
        <v>R22-16</v>
      </c>
      <c r="E213" s="133">
        <f>Establishment!C332</f>
        <v>2</v>
      </c>
      <c r="F213" s="334" t="str">
        <f>Establishment!D342</f>
        <v>Driver/Market Manager</v>
      </c>
      <c r="G213" s="334"/>
      <c r="H213" s="334"/>
      <c r="I213" s="133" t="str">
        <f>Establishment!E342</f>
        <v>R46-34</v>
      </c>
      <c r="J213" s="133">
        <f>Establishment!C342</f>
        <v>1</v>
      </c>
    </row>
    <row r="214" spans="1:10" ht="15" customHeight="1" x14ac:dyDescent="0.2">
      <c r="A214" s="334" t="str">
        <f>Establishment!D333</f>
        <v>Fisheries Officer</v>
      </c>
      <c r="B214" s="334"/>
      <c r="C214" s="334"/>
      <c r="D214" s="133" t="str">
        <f>Establishment!E333</f>
        <v>R22-16</v>
      </c>
      <c r="E214" s="133">
        <f>Establishment!C333</f>
        <v>1</v>
      </c>
      <c r="F214" s="334" t="str">
        <f>Establishment!D343</f>
        <v>Plant Propagator</v>
      </c>
      <c r="G214" s="334"/>
      <c r="H214" s="334"/>
      <c r="I214" s="133" t="str">
        <f>Establishment!E343</f>
        <v>R42-36</v>
      </c>
      <c r="J214" s="133">
        <f>Establishment!C343</f>
        <v>1</v>
      </c>
    </row>
    <row r="215" spans="1:10" ht="15" customHeight="1" x14ac:dyDescent="0.2">
      <c r="A215" s="334" t="str">
        <f>Establishment!D334</f>
        <v>Fisheries Assistant</v>
      </c>
      <c r="B215" s="334"/>
      <c r="C215" s="334"/>
      <c r="D215" s="133" t="str">
        <f>Establishment!E334</f>
        <v>R28-22</v>
      </c>
      <c r="E215" s="133">
        <f>Establishment!C334</f>
        <v>1</v>
      </c>
      <c r="F215" s="334" t="str">
        <f>Establishment!D344</f>
        <v>Nursery Worker</v>
      </c>
      <c r="G215" s="334"/>
      <c r="H215" s="334"/>
      <c r="I215" s="133" t="str">
        <f>Establishment!E344</f>
        <v>R48-38</v>
      </c>
      <c r="J215" s="133">
        <f>Establishment!C344</f>
        <v>1</v>
      </c>
    </row>
    <row r="216" spans="1:10" ht="15" customHeight="1" x14ac:dyDescent="0.2">
      <c r="A216" s="334" t="str">
        <f>Establishment!D335</f>
        <v>Extension Officer</v>
      </c>
      <c r="B216" s="334"/>
      <c r="C216" s="334"/>
      <c r="D216" s="133" t="str">
        <f>Establishment!E335</f>
        <v>R28 -22</v>
      </c>
      <c r="E216" s="133">
        <f>Establishment!C335</f>
        <v>1</v>
      </c>
      <c r="F216" s="334"/>
      <c r="G216" s="334"/>
      <c r="H216" s="334"/>
      <c r="I216" s="133"/>
      <c r="J216" s="133"/>
    </row>
    <row r="217" spans="1:10" x14ac:dyDescent="0.2">
      <c r="A217" s="203" t="s">
        <v>303</v>
      </c>
      <c r="B217" s="203"/>
      <c r="C217" s="203"/>
      <c r="D217" s="203"/>
      <c r="E217" s="203"/>
      <c r="F217" s="203"/>
      <c r="G217" s="203"/>
      <c r="H217" s="203"/>
      <c r="I217" s="203"/>
      <c r="J217" s="204">
        <f>SUM(E207:E217,J207:J216)</f>
        <v>24</v>
      </c>
    </row>
    <row r="218" spans="1:10" ht="15" customHeight="1" x14ac:dyDescent="0.2">
      <c r="A218" s="129"/>
      <c r="B218" s="129"/>
      <c r="C218" s="129"/>
      <c r="D218" s="129"/>
      <c r="E218" s="129"/>
      <c r="F218" s="129"/>
      <c r="G218" s="129"/>
      <c r="H218" s="129"/>
      <c r="I218" s="129"/>
      <c r="J218" s="129"/>
    </row>
    <row r="219" spans="1:10" ht="15" customHeight="1" x14ac:dyDescent="0.2">
      <c r="A219" s="180" t="s">
        <v>304</v>
      </c>
      <c r="B219" s="180"/>
      <c r="C219" s="180"/>
      <c r="D219" s="180"/>
      <c r="E219" s="180"/>
      <c r="F219" s="180"/>
      <c r="G219" s="180"/>
      <c r="H219" s="180"/>
      <c r="I219" s="180"/>
      <c r="J219" s="180"/>
    </row>
    <row r="220" spans="1:10" x14ac:dyDescent="0.2">
      <c r="A220" s="181" t="s">
        <v>305</v>
      </c>
      <c r="B220" s="181"/>
      <c r="C220" s="181"/>
      <c r="D220" s="181"/>
      <c r="E220" s="181"/>
      <c r="F220" s="181"/>
      <c r="G220" s="181"/>
      <c r="H220" s="181"/>
      <c r="I220" s="181"/>
      <c r="J220" s="181"/>
    </row>
    <row r="221" spans="1:10" ht="23.25" customHeight="1" x14ac:dyDescent="0.2">
      <c r="A221" s="463" t="s">
        <v>1322</v>
      </c>
      <c r="B221" s="463"/>
      <c r="C221" s="463"/>
      <c r="D221" s="463"/>
      <c r="E221" s="463"/>
      <c r="F221" s="463"/>
      <c r="G221" s="463"/>
      <c r="H221" s="463"/>
      <c r="I221" s="463"/>
      <c r="J221" s="463"/>
    </row>
    <row r="222" spans="1:10" x14ac:dyDescent="0.2">
      <c r="A222" s="306" t="s">
        <v>1323</v>
      </c>
      <c r="B222" s="306"/>
      <c r="C222" s="306"/>
      <c r="D222" s="306"/>
      <c r="E222" s="306"/>
      <c r="F222" s="306"/>
      <c r="G222" s="306"/>
      <c r="H222" s="306"/>
      <c r="I222" s="306"/>
      <c r="J222" s="306"/>
    </row>
    <row r="223" spans="1:10" ht="23.25" customHeight="1" x14ac:dyDescent="0.2">
      <c r="A223" s="463" t="s">
        <v>1324</v>
      </c>
      <c r="B223" s="463"/>
      <c r="C223" s="463"/>
      <c r="D223" s="463"/>
      <c r="E223" s="463"/>
      <c r="F223" s="463"/>
      <c r="G223" s="463"/>
      <c r="H223" s="463"/>
      <c r="I223" s="463"/>
      <c r="J223" s="463"/>
    </row>
    <row r="224" spans="1:10" x14ac:dyDescent="0.2">
      <c r="A224" s="129" t="s">
        <v>1325</v>
      </c>
      <c r="B224" s="129"/>
      <c r="C224" s="129"/>
      <c r="D224" s="129"/>
      <c r="E224" s="129"/>
      <c r="F224" s="129"/>
      <c r="G224" s="129"/>
      <c r="H224" s="129"/>
      <c r="I224" s="129"/>
      <c r="J224" s="129"/>
    </row>
    <row r="225" spans="1:10" ht="15" customHeight="1" x14ac:dyDescent="0.2">
      <c r="A225" s="129"/>
      <c r="B225" s="129"/>
      <c r="C225" s="129"/>
      <c r="D225" s="129"/>
      <c r="E225" s="129"/>
      <c r="F225" s="129"/>
      <c r="G225" s="129"/>
      <c r="H225" s="129"/>
      <c r="I225" s="129"/>
      <c r="J225" s="129"/>
    </row>
    <row r="226" spans="1:10" x14ac:dyDescent="0.2">
      <c r="A226" s="183" t="s">
        <v>415</v>
      </c>
      <c r="B226" s="183"/>
      <c r="C226" s="183"/>
      <c r="D226" s="183"/>
      <c r="E226" s="183"/>
      <c r="F226" s="183"/>
      <c r="G226" s="183"/>
      <c r="H226" s="183"/>
      <c r="I226" s="183"/>
      <c r="J226" s="183"/>
    </row>
    <row r="227" spans="1:10" x14ac:dyDescent="0.2">
      <c r="A227" s="129" t="s">
        <v>1326</v>
      </c>
      <c r="B227" s="129"/>
      <c r="C227" s="129"/>
      <c r="D227" s="129"/>
      <c r="E227" s="129"/>
      <c r="F227" s="129"/>
      <c r="G227" s="129"/>
      <c r="H227" s="129"/>
      <c r="I227" s="129"/>
      <c r="J227" s="129"/>
    </row>
    <row r="228" spans="1:10" ht="24" customHeight="1" x14ac:dyDescent="0.2">
      <c r="A228" s="464" t="s">
        <v>1327</v>
      </c>
      <c r="B228" s="464"/>
      <c r="C228" s="464"/>
      <c r="D228" s="464"/>
      <c r="E228" s="464"/>
      <c r="F228" s="464"/>
      <c r="G228" s="464"/>
      <c r="H228" s="464"/>
      <c r="I228" s="464"/>
      <c r="J228" s="464"/>
    </row>
    <row r="229" spans="1:10" x14ac:dyDescent="0.2">
      <c r="A229" s="129"/>
      <c r="B229" s="129"/>
      <c r="C229" s="129"/>
      <c r="D229" s="129"/>
      <c r="E229" s="129"/>
      <c r="F229" s="129"/>
      <c r="G229" s="129"/>
      <c r="H229" s="129"/>
      <c r="I229" s="129"/>
      <c r="J229" s="129"/>
    </row>
    <row r="230" spans="1:10" ht="22.5" x14ac:dyDescent="0.2">
      <c r="A230" s="180" t="s">
        <v>315</v>
      </c>
      <c r="B230" s="180"/>
      <c r="C230" s="180"/>
      <c r="D230" s="180"/>
      <c r="E230" s="180"/>
      <c r="F230" s="184" t="str">
        <f>F153</f>
        <v xml:space="preserve"> Actual 2014-2015</v>
      </c>
      <c r="G230" s="184" t="str">
        <f>G153</f>
        <v xml:space="preserve"> Estimate 2015-2016</v>
      </c>
      <c r="H230" s="184" t="str">
        <f>H153</f>
        <v xml:space="preserve"> Target 2016-2017</v>
      </c>
      <c r="I230" s="184" t="str">
        <f>I153</f>
        <v xml:space="preserve"> Target 2017-2018</v>
      </c>
      <c r="J230" s="184" t="str">
        <f>J153</f>
        <v xml:space="preserve"> Target 2018-2019</v>
      </c>
    </row>
    <row r="231" spans="1:10" x14ac:dyDescent="0.2">
      <c r="A231" s="180" t="s">
        <v>316</v>
      </c>
      <c r="B231" s="180"/>
      <c r="C231" s="180"/>
      <c r="D231" s="180"/>
      <c r="E231" s="180"/>
      <c r="F231" s="180"/>
      <c r="G231" s="180"/>
      <c r="H231" s="180"/>
      <c r="I231" s="180"/>
      <c r="J231" s="180"/>
    </row>
    <row r="232" spans="1:10" x14ac:dyDescent="0.2">
      <c r="A232" s="306" t="s">
        <v>1328</v>
      </c>
      <c r="B232" s="306"/>
      <c r="C232" s="306"/>
      <c r="D232" s="306"/>
      <c r="E232" s="306"/>
      <c r="F232" s="273">
        <v>2</v>
      </c>
      <c r="G232" s="190">
        <v>2</v>
      </c>
      <c r="H232" s="190">
        <v>4</v>
      </c>
      <c r="I232" s="190">
        <v>4</v>
      </c>
      <c r="J232" s="190">
        <v>4</v>
      </c>
    </row>
    <row r="233" spans="1:10" x14ac:dyDescent="0.2">
      <c r="A233" s="306" t="s">
        <v>1329</v>
      </c>
      <c r="B233" s="306"/>
      <c r="C233" s="306"/>
      <c r="D233" s="306"/>
      <c r="E233" s="306"/>
      <c r="F233" s="273">
        <v>65</v>
      </c>
      <c r="G233" s="190">
        <v>90</v>
      </c>
      <c r="H233" s="190">
        <v>110</v>
      </c>
      <c r="I233" s="190">
        <v>110</v>
      </c>
      <c r="J233" s="190">
        <v>110</v>
      </c>
    </row>
    <row r="234" spans="1:10" x14ac:dyDescent="0.2">
      <c r="A234" s="306" t="s">
        <v>1330</v>
      </c>
      <c r="B234" s="306"/>
      <c r="C234" s="306"/>
      <c r="D234" s="306"/>
      <c r="E234" s="306"/>
      <c r="F234" s="465">
        <v>13727</v>
      </c>
      <c r="G234" s="466">
        <v>14500</v>
      </c>
      <c r="H234" s="466">
        <v>15000</v>
      </c>
      <c r="I234" s="466">
        <v>15000</v>
      </c>
      <c r="J234" s="466">
        <v>15000</v>
      </c>
    </row>
    <row r="235" spans="1:10" x14ac:dyDescent="0.2">
      <c r="A235" s="306" t="s">
        <v>1331</v>
      </c>
      <c r="B235" s="306"/>
      <c r="C235" s="306"/>
      <c r="D235" s="306"/>
      <c r="E235" s="306"/>
      <c r="F235" s="273">
        <v>22</v>
      </c>
      <c r="G235" s="190">
        <v>15</v>
      </c>
      <c r="H235" s="190">
        <v>20</v>
      </c>
      <c r="I235" s="190">
        <v>20</v>
      </c>
      <c r="J235" s="190">
        <v>20</v>
      </c>
    </row>
    <row r="236" spans="1:10" x14ac:dyDescent="0.2">
      <c r="A236" s="188"/>
      <c r="B236" s="188"/>
      <c r="C236" s="188"/>
      <c r="D236" s="188"/>
      <c r="E236" s="188"/>
      <c r="F236" s="273"/>
      <c r="G236" s="190"/>
      <c r="H236" s="190"/>
      <c r="I236" s="190"/>
      <c r="J236" s="190"/>
    </row>
    <row r="237" spans="1:10" ht="25.5" customHeight="1" x14ac:dyDescent="0.2">
      <c r="A237" s="180" t="s">
        <v>324</v>
      </c>
      <c r="B237" s="180"/>
      <c r="C237" s="180"/>
      <c r="D237" s="180"/>
      <c r="E237" s="180"/>
      <c r="F237" s="180"/>
      <c r="G237" s="180"/>
      <c r="H237" s="180"/>
      <c r="I237" s="180"/>
      <c r="J237" s="180"/>
    </row>
    <row r="238" spans="1:10" x14ac:dyDescent="0.2">
      <c r="A238" s="306" t="s">
        <v>1332</v>
      </c>
      <c r="B238" s="306"/>
      <c r="C238" s="306"/>
      <c r="D238" s="306"/>
      <c r="E238" s="306"/>
      <c r="F238" s="465">
        <v>80719</v>
      </c>
      <c r="G238" s="466">
        <v>70000</v>
      </c>
      <c r="H238" s="466">
        <v>80000</v>
      </c>
      <c r="I238" s="466">
        <v>80000</v>
      </c>
      <c r="J238" s="466">
        <v>80000</v>
      </c>
    </row>
    <row r="239" spans="1:10" x14ac:dyDescent="0.2">
      <c r="A239" s="306" t="s">
        <v>1333</v>
      </c>
      <c r="B239" s="306"/>
      <c r="C239" s="306"/>
      <c r="D239" s="306"/>
      <c r="E239" s="306"/>
      <c r="F239" s="273">
        <v>2</v>
      </c>
      <c r="G239" s="190">
        <v>2</v>
      </c>
      <c r="H239" s="190">
        <v>3</v>
      </c>
      <c r="I239" s="190">
        <v>4</v>
      </c>
      <c r="J239" s="190">
        <v>4</v>
      </c>
    </row>
    <row r="240" spans="1:10" ht="15" customHeight="1" x14ac:dyDescent="0.2">
      <c r="A240" s="306" t="s">
        <v>1334</v>
      </c>
      <c r="B240" s="306"/>
      <c r="C240" s="306"/>
      <c r="D240" s="306"/>
      <c r="E240" s="306"/>
      <c r="F240" s="465">
        <v>61771</v>
      </c>
      <c r="G240" s="466">
        <v>65250</v>
      </c>
      <c r="H240" s="466">
        <v>67500</v>
      </c>
      <c r="I240" s="466">
        <v>67500</v>
      </c>
      <c r="J240" s="466">
        <v>67500</v>
      </c>
    </row>
    <row r="241" spans="1:10" ht="15" customHeight="1" x14ac:dyDescent="0.2">
      <c r="A241" s="129"/>
      <c r="B241" s="129"/>
      <c r="C241" s="129"/>
      <c r="D241" s="129"/>
      <c r="E241" s="129"/>
      <c r="F241" s="129"/>
      <c r="G241" s="129"/>
      <c r="H241" s="129"/>
      <c r="I241" s="129"/>
      <c r="J241" s="129"/>
    </row>
    <row r="242" spans="1:10" ht="15" customHeight="1" x14ac:dyDescent="0.2">
      <c r="A242" s="150" t="s">
        <v>1335</v>
      </c>
      <c r="B242" s="150"/>
      <c r="C242" s="150"/>
      <c r="D242" s="150"/>
      <c r="E242" s="150"/>
      <c r="F242" s="150"/>
      <c r="G242" s="150"/>
      <c r="H242" s="150"/>
      <c r="I242" s="150"/>
      <c r="J242" s="150"/>
    </row>
    <row r="243" spans="1:10" ht="15" customHeight="1" x14ac:dyDescent="0.2">
      <c r="A243" s="389" t="s">
        <v>291</v>
      </c>
      <c r="B243" s="389"/>
      <c r="C243" s="389"/>
      <c r="D243" s="389"/>
      <c r="E243" s="389"/>
      <c r="F243" s="389"/>
      <c r="G243" s="389"/>
      <c r="H243" s="389"/>
      <c r="I243" s="389"/>
      <c r="J243" s="389"/>
    </row>
    <row r="244" spans="1:10" ht="14.25" customHeight="1" x14ac:dyDescent="0.2">
      <c r="A244" s="129" t="s">
        <v>1336</v>
      </c>
      <c r="B244" s="129"/>
      <c r="C244" s="129"/>
      <c r="D244" s="129"/>
      <c r="E244" s="129"/>
      <c r="F244" s="129"/>
      <c r="G244" s="129"/>
      <c r="H244" s="129"/>
      <c r="I244" s="129"/>
      <c r="J244" s="129"/>
    </row>
    <row r="245" spans="1:10" x14ac:dyDescent="0.2">
      <c r="A245" s="128" t="s">
        <v>293</v>
      </c>
      <c r="B245" s="128"/>
      <c r="C245" s="128"/>
      <c r="D245" s="128"/>
      <c r="E245" s="128"/>
      <c r="F245" s="128"/>
      <c r="G245" s="128"/>
      <c r="H245" s="128"/>
      <c r="I245" s="128"/>
      <c r="J245" s="128"/>
    </row>
    <row r="246" spans="1:10" ht="33.75" x14ac:dyDescent="0.2">
      <c r="A246" s="152" t="s">
        <v>243</v>
      </c>
      <c r="B246" s="151" t="s">
        <v>242</v>
      </c>
      <c r="C246" s="151"/>
      <c r="D246" s="151"/>
      <c r="E246" s="132" t="str">
        <f t="shared" ref="E246:J246" si="46">E37</f>
        <v>Actuals           2014-2015</v>
      </c>
      <c r="F246" s="132" t="str">
        <f t="shared" si="46"/>
        <v>Approved Estimates          2015-2016</v>
      </c>
      <c r="G246" s="132" t="str">
        <f t="shared" si="46"/>
        <v>Revised Estimates                 2015-2016</v>
      </c>
      <c r="H246" s="132" t="str">
        <f t="shared" si="46"/>
        <v>Budget Estimates      2016-2017</v>
      </c>
      <c r="I246" s="132" t="str">
        <f t="shared" si="46"/>
        <v>Forward Estimates     2017-2018</v>
      </c>
      <c r="J246" s="132" t="str">
        <f t="shared" si="46"/>
        <v>Forward Estimates     2018-2019</v>
      </c>
    </row>
    <row r="247" spans="1:10" x14ac:dyDescent="0.2">
      <c r="A247" s="207" t="s">
        <v>104</v>
      </c>
      <c r="B247" s="129" t="s">
        <v>1138</v>
      </c>
      <c r="C247" s="129" t="s">
        <v>1138</v>
      </c>
      <c r="D247" s="129" t="s">
        <v>1138</v>
      </c>
      <c r="E247" s="211">
        <v>436035</v>
      </c>
      <c r="F247" s="211">
        <v>360000</v>
      </c>
      <c r="G247" s="211">
        <v>206600</v>
      </c>
      <c r="H247" s="210">
        <v>360000</v>
      </c>
      <c r="I247" s="211">
        <v>360000</v>
      </c>
      <c r="J247" s="211">
        <v>360000</v>
      </c>
    </row>
    <row r="248" spans="1:10" x14ac:dyDescent="0.2">
      <c r="A248" s="207">
        <v>130</v>
      </c>
      <c r="B248" s="129" t="s">
        <v>1337</v>
      </c>
      <c r="C248" s="129" t="s">
        <v>1337</v>
      </c>
      <c r="D248" s="129" t="s">
        <v>1337</v>
      </c>
      <c r="E248" s="211">
        <v>6384.2</v>
      </c>
      <c r="F248" s="211">
        <v>7000</v>
      </c>
      <c r="G248" s="211">
        <v>9500</v>
      </c>
      <c r="H248" s="210">
        <v>7000</v>
      </c>
      <c r="I248" s="211">
        <v>7000</v>
      </c>
      <c r="J248" s="211">
        <v>7000</v>
      </c>
    </row>
    <row r="249" spans="1:10" x14ac:dyDescent="0.2">
      <c r="A249" s="207">
        <v>130</v>
      </c>
      <c r="B249" s="129" t="s">
        <v>1338</v>
      </c>
      <c r="C249" s="129" t="s">
        <v>1338</v>
      </c>
      <c r="D249" s="129" t="s">
        <v>1338</v>
      </c>
      <c r="E249" s="211">
        <v>173024.36000000002</v>
      </c>
      <c r="F249" s="211">
        <v>150000</v>
      </c>
      <c r="G249" s="211">
        <v>97200</v>
      </c>
      <c r="H249" s="210">
        <v>150000</v>
      </c>
      <c r="I249" s="211">
        <v>150000</v>
      </c>
      <c r="J249" s="211">
        <v>150000</v>
      </c>
    </row>
    <row r="250" spans="1:10" x14ac:dyDescent="0.2">
      <c r="A250" s="207">
        <v>130</v>
      </c>
      <c r="B250" s="129" t="s">
        <v>1339</v>
      </c>
      <c r="C250" s="129" t="s">
        <v>1339</v>
      </c>
      <c r="D250" s="129" t="s">
        <v>1339</v>
      </c>
      <c r="E250" s="211">
        <v>0</v>
      </c>
      <c r="F250" s="211">
        <v>0</v>
      </c>
      <c r="G250" s="211">
        <v>0</v>
      </c>
      <c r="H250" s="210">
        <v>0</v>
      </c>
      <c r="I250" s="211">
        <v>0</v>
      </c>
      <c r="J250" s="211">
        <v>0</v>
      </c>
    </row>
    <row r="251" spans="1:10" x14ac:dyDescent="0.2">
      <c r="A251" s="207">
        <v>160</v>
      </c>
      <c r="B251" s="129" t="s">
        <v>1340</v>
      </c>
      <c r="C251" s="129" t="s">
        <v>1340</v>
      </c>
      <c r="D251" s="129" t="s">
        <v>1340</v>
      </c>
      <c r="E251" s="211">
        <v>104307.4</v>
      </c>
      <c r="F251" s="211">
        <v>30000</v>
      </c>
      <c r="G251" s="211">
        <v>63700</v>
      </c>
      <c r="H251" s="210">
        <v>30000</v>
      </c>
      <c r="I251" s="211">
        <v>30000</v>
      </c>
      <c r="J251" s="211">
        <v>30000</v>
      </c>
    </row>
    <row r="252" spans="1:10" x14ac:dyDescent="0.2">
      <c r="A252" s="207">
        <v>160</v>
      </c>
      <c r="B252" s="129" t="s">
        <v>1341</v>
      </c>
      <c r="C252" s="129" t="s">
        <v>1341</v>
      </c>
      <c r="D252" s="129" t="s">
        <v>1341</v>
      </c>
      <c r="E252" s="211">
        <v>6908</v>
      </c>
      <c r="F252" s="211">
        <v>5000</v>
      </c>
      <c r="G252" s="211">
        <v>6400</v>
      </c>
      <c r="H252" s="210">
        <v>17000</v>
      </c>
      <c r="I252" s="211">
        <v>17000</v>
      </c>
      <c r="J252" s="211">
        <v>17000</v>
      </c>
    </row>
    <row r="253" spans="1:10" x14ac:dyDescent="0.2">
      <c r="A253" s="207">
        <v>160</v>
      </c>
      <c r="B253" s="129" t="s">
        <v>1342</v>
      </c>
      <c r="C253" s="129" t="s">
        <v>1342</v>
      </c>
      <c r="D253" s="129" t="s">
        <v>1342</v>
      </c>
      <c r="E253" s="211">
        <v>88320</v>
      </c>
      <c r="F253" s="211">
        <v>60000</v>
      </c>
      <c r="G253" s="211">
        <v>111700</v>
      </c>
      <c r="H253" s="210">
        <v>60000</v>
      </c>
      <c r="I253" s="211">
        <v>60000</v>
      </c>
      <c r="J253" s="211">
        <v>60000</v>
      </c>
    </row>
    <row r="254" spans="1:10" x14ac:dyDescent="0.2">
      <c r="A254" s="137" t="s">
        <v>1274</v>
      </c>
      <c r="B254" s="137"/>
      <c r="C254" s="137"/>
      <c r="D254" s="137"/>
      <c r="E254" s="138">
        <f t="shared" ref="E254:J254" si="47">SUM(E247:E253)</f>
        <v>814978.96000000008</v>
      </c>
      <c r="F254" s="138">
        <f t="shared" si="47"/>
        <v>612000</v>
      </c>
      <c r="G254" s="138">
        <f t="shared" si="47"/>
        <v>495100</v>
      </c>
      <c r="H254" s="138">
        <f t="shared" si="47"/>
        <v>624000</v>
      </c>
      <c r="I254" s="138">
        <f t="shared" si="47"/>
        <v>624000</v>
      </c>
      <c r="J254" s="138">
        <f t="shared" si="47"/>
        <v>624000</v>
      </c>
    </row>
    <row r="255" spans="1:10" x14ac:dyDescent="0.2">
      <c r="A255" s="129"/>
      <c r="B255" s="129"/>
      <c r="C255" s="129"/>
      <c r="D255" s="129"/>
      <c r="E255" s="129"/>
      <c r="F255" s="129"/>
      <c r="G255" s="129"/>
      <c r="H255" s="129"/>
      <c r="I255" s="129"/>
      <c r="J255" s="129"/>
    </row>
    <row r="256" spans="1:10" x14ac:dyDescent="0.2">
      <c r="A256" s="128" t="s">
        <v>284</v>
      </c>
      <c r="B256" s="128"/>
      <c r="C256" s="128"/>
      <c r="D256" s="128"/>
      <c r="E256" s="128"/>
      <c r="F256" s="128"/>
      <c r="G256" s="128"/>
      <c r="H256" s="128"/>
      <c r="I256" s="128"/>
      <c r="J256" s="128"/>
    </row>
    <row r="257" spans="1:10" ht="33.75" x14ac:dyDescent="0.2">
      <c r="A257" s="152" t="s">
        <v>243</v>
      </c>
      <c r="B257" s="151" t="s">
        <v>242</v>
      </c>
      <c r="C257" s="151"/>
      <c r="D257" s="151"/>
      <c r="E257" s="132" t="str">
        <f t="shared" ref="E257:J257" si="48">E37</f>
        <v>Actuals           2014-2015</v>
      </c>
      <c r="F257" s="132" t="str">
        <f t="shared" si="48"/>
        <v>Approved Estimates          2015-2016</v>
      </c>
      <c r="G257" s="132" t="str">
        <f t="shared" si="48"/>
        <v>Revised Estimates                 2015-2016</v>
      </c>
      <c r="H257" s="132" t="str">
        <f t="shared" si="48"/>
        <v>Budget Estimates      2016-2017</v>
      </c>
      <c r="I257" s="132" t="str">
        <f t="shared" si="48"/>
        <v>Forward Estimates     2017-2018</v>
      </c>
      <c r="J257" s="132" t="str">
        <f t="shared" si="48"/>
        <v>Forward Estimates     2018-2019</v>
      </c>
    </row>
    <row r="258" spans="1:10" x14ac:dyDescent="0.2">
      <c r="A258" s="151" t="s">
        <v>7</v>
      </c>
      <c r="B258" s="151"/>
      <c r="C258" s="151"/>
      <c r="D258" s="151"/>
      <c r="E258" s="151"/>
      <c r="F258" s="151"/>
      <c r="G258" s="151"/>
      <c r="H258" s="151"/>
      <c r="I258" s="151"/>
      <c r="J258" s="190"/>
    </row>
    <row r="259" spans="1:10" x14ac:dyDescent="0.2">
      <c r="A259" s="207">
        <v>210</v>
      </c>
      <c r="B259" s="129" t="s">
        <v>7</v>
      </c>
      <c r="C259" s="129"/>
      <c r="D259" s="129"/>
      <c r="E259" s="211">
        <v>401597.5</v>
      </c>
      <c r="F259" s="209">
        <v>583600</v>
      </c>
      <c r="G259" s="211">
        <v>563600</v>
      </c>
      <c r="H259" s="210">
        <v>546100</v>
      </c>
      <c r="I259" s="211">
        <v>614400</v>
      </c>
      <c r="J259" s="211">
        <v>625600</v>
      </c>
    </row>
    <row r="260" spans="1:10" x14ac:dyDescent="0.2">
      <c r="A260" s="207">
        <v>212</v>
      </c>
      <c r="B260" s="129" t="s">
        <v>9</v>
      </c>
      <c r="C260" s="129"/>
      <c r="D260" s="129"/>
      <c r="E260" s="211">
        <v>0</v>
      </c>
      <c r="F260" s="209">
        <v>0</v>
      </c>
      <c r="G260" s="211">
        <v>0</v>
      </c>
      <c r="H260" s="210">
        <v>0</v>
      </c>
      <c r="I260" s="211">
        <v>0</v>
      </c>
      <c r="J260" s="211">
        <v>0</v>
      </c>
    </row>
    <row r="261" spans="1:10" x14ac:dyDescent="0.2">
      <c r="A261" s="207">
        <v>216</v>
      </c>
      <c r="B261" s="129" t="s">
        <v>10</v>
      </c>
      <c r="C261" s="129"/>
      <c r="D261" s="129"/>
      <c r="E261" s="211">
        <v>69694.94</v>
      </c>
      <c r="F261" s="209">
        <v>141600</v>
      </c>
      <c r="G261" s="211">
        <v>131100</v>
      </c>
      <c r="H261" s="210">
        <v>100700</v>
      </c>
      <c r="I261" s="211">
        <v>100700</v>
      </c>
      <c r="J261" s="211">
        <v>114600</v>
      </c>
    </row>
    <row r="262" spans="1:10" x14ac:dyDescent="0.2">
      <c r="A262" s="207">
        <v>218</v>
      </c>
      <c r="B262" s="129" t="s">
        <v>294</v>
      </c>
      <c r="C262" s="129"/>
      <c r="D262" s="129"/>
      <c r="E262" s="211">
        <v>0</v>
      </c>
      <c r="F262" s="209">
        <v>0</v>
      </c>
      <c r="G262" s="211">
        <v>0</v>
      </c>
      <c r="H262" s="210">
        <v>0</v>
      </c>
      <c r="I262" s="211">
        <v>14800</v>
      </c>
      <c r="J262" s="211">
        <v>0</v>
      </c>
    </row>
    <row r="263" spans="1:10" ht="15" customHeight="1" x14ac:dyDescent="0.2">
      <c r="A263" s="156" t="s">
        <v>295</v>
      </c>
      <c r="B263" s="156"/>
      <c r="C263" s="156"/>
      <c r="D263" s="156"/>
      <c r="E263" s="157">
        <f t="shared" ref="E263:J263" si="49">SUM(E259:E262)</f>
        <v>471292.44</v>
      </c>
      <c r="F263" s="157">
        <f t="shared" si="49"/>
        <v>725200</v>
      </c>
      <c r="G263" s="157">
        <f t="shared" si="49"/>
        <v>694700</v>
      </c>
      <c r="H263" s="157">
        <f t="shared" si="49"/>
        <v>646800</v>
      </c>
      <c r="I263" s="157">
        <f t="shared" si="49"/>
        <v>729900</v>
      </c>
      <c r="J263" s="157">
        <f t="shared" si="49"/>
        <v>740200</v>
      </c>
    </row>
    <row r="264" spans="1:10" ht="15" customHeight="1" x14ac:dyDescent="0.2">
      <c r="A264" s="156" t="s">
        <v>296</v>
      </c>
      <c r="B264" s="156"/>
      <c r="C264" s="156"/>
      <c r="D264" s="156"/>
      <c r="E264" s="156"/>
      <c r="F264" s="156"/>
      <c r="G264" s="156"/>
      <c r="H264" s="156"/>
      <c r="I264" s="156"/>
      <c r="J264" s="190"/>
    </row>
    <row r="265" spans="1:10" x14ac:dyDescent="0.2">
      <c r="A265" s="207">
        <v>228</v>
      </c>
      <c r="B265" s="129" t="s">
        <v>208</v>
      </c>
      <c r="C265" s="129"/>
      <c r="D265" s="129"/>
      <c r="E265" s="211">
        <v>6737.42</v>
      </c>
      <c r="F265" s="211">
        <v>7000</v>
      </c>
      <c r="G265" s="211">
        <v>7000</v>
      </c>
      <c r="H265" s="210">
        <v>7000</v>
      </c>
      <c r="I265" s="211">
        <v>7000</v>
      </c>
      <c r="J265" s="211">
        <v>7000</v>
      </c>
    </row>
    <row r="266" spans="1:10" x14ac:dyDescent="0.2">
      <c r="A266" s="207">
        <v>230</v>
      </c>
      <c r="B266" s="129" t="s">
        <v>210</v>
      </c>
      <c r="C266" s="129"/>
      <c r="D266" s="129"/>
      <c r="E266" s="211">
        <v>2800</v>
      </c>
      <c r="F266" s="211">
        <v>2800</v>
      </c>
      <c r="G266" s="211">
        <v>2800</v>
      </c>
      <c r="H266" s="210">
        <v>2800</v>
      </c>
      <c r="I266" s="211">
        <v>2800</v>
      </c>
      <c r="J266" s="211">
        <v>2800</v>
      </c>
    </row>
    <row r="267" spans="1:10" x14ac:dyDescent="0.2">
      <c r="A267" s="207">
        <v>232</v>
      </c>
      <c r="B267" s="129" t="s">
        <v>211</v>
      </c>
      <c r="C267" s="129"/>
      <c r="D267" s="129"/>
      <c r="E267" s="211">
        <v>15994.22</v>
      </c>
      <c r="F267" s="211">
        <v>16500</v>
      </c>
      <c r="G267" s="211">
        <v>16500</v>
      </c>
      <c r="H267" s="210">
        <v>16500</v>
      </c>
      <c r="I267" s="211">
        <v>16500</v>
      </c>
      <c r="J267" s="211">
        <v>16500</v>
      </c>
    </row>
    <row r="268" spans="1:10" x14ac:dyDescent="0.2">
      <c r="A268" s="207">
        <v>236</v>
      </c>
      <c r="B268" s="323" t="s">
        <v>213</v>
      </c>
      <c r="C268" s="324"/>
      <c r="D268" s="325"/>
      <c r="E268" s="211">
        <v>0</v>
      </c>
      <c r="F268" s="211">
        <v>0</v>
      </c>
      <c r="G268" s="211">
        <v>0</v>
      </c>
      <c r="H268" s="210">
        <v>14400</v>
      </c>
      <c r="I268" s="209">
        <v>14400</v>
      </c>
      <c r="J268" s="209">
        <v>14400</v>
      </c>
    </row>
    <row r="269" spans="1:10" x14ac:dyDescent="0.2">
      <c r="A269" s="207">
        <v>244</v>
      </c>
      <c r="B269" s="129" t="s">
        <v>217</v>
      </c>
      <c r="C269" s="129"/>
      <c r="D269" s="129"/>
      <c r="E269" s="211">
        <v>8984</v>
      </c>
      <c r="F269" s="211">
        <f>8000+2600</f>
        <v>10600</v>
      </c>
      <c r="G269" s="211">
        <v>10600</v>
      </c>
      <c r="H269" s="210">
        <v>10600</v>
      </c>
      <c r="I269" s="211">
        <v>10600</v>
      </c>
      <c r="J269" s="211">
        <v>10600</v>
      </c>
    </row>
    <row r="270" spans="1:10" x14ac:dyDescent="0.2">
      <c r="A270" s="207">
        <v>246</v>
      </c>
      <c r="B270" s="129" t="s">
        <v>218</v>
      </c>
      <c r="C270" s="129"/>
      <c r="D270" s="129"/>
      <c r="E270" s="211">
        <v>567</v>
      </c>
      <c r="F270" s="211">
        <v>2000</v>
      </c>
      <c r="G270" s="211">
        <v>2000</v>
      </c>
      <c r="H270" s="210">
        <v>2000</v>
      </c>
      <c r="I270" s="211">
        <v>2000</v>
      </c>
      <c r="J270" s="211">
        <v>2000</v>
      </c>
    </row>
    <row r="271" spans="1:10" x14ac:dyDescent="0.2">
      <c r="A271" s="207">
        <v>275</v>
      </c>
      <c r="B271" s="129" t="s">
        <v>228</v>
      </c>
      <c r="C271" s="129"/>
      <c r="D271" s="129"/>
      <c r="E271" s="211">
        <v>1646.25</v>
      </c>
      <c r="F271" s="211">
        <v>1500</v>
      </c>
      <c r="G271" s="211">
        <v>1500</v>
      </c>
      <c r="H271" s="210">
        <v>2000</v>
      </c>
      <c r="I271" s="211">
        <v>2000</v>
      </c>
      <c r="J271" s="211">
        <v>2000</v>
      </c>
    </row>
    <row r="272" spans="1:10" x14ac:dyDescent="0.2">
      <c r="A272" s="156" t="s">
        <v>298</v>
      </c>
      <c r="B272" s="156"/>
      <c r="C272" s="156"/>
      <c r="D272" s="156"/>
      <c r="E272" s="157">
        <f t="shared" ref="E272:J272" si="50">SUM(E265:E271)</f>
        <v>36728.89</v>
      </c>
      <c r="F272" s="264">
        <f t="shared" si="50"/>
        <v>40400</v>
      </c>
      <c r="G272" s="157">
        <f t="shared" si="50"/>
        <v>40400</v>
      </c>
      <c r="H272" s="157">
        <f t="shared" si="50"/>
        <v>55300</v>
      </c>
      <c r="I272" s="157">
        <f t="shared" si="50"/>
        <v>55300</v>
      </c>
      <c r="J272" s="157">
        <f t="shared" si="50"/>
        <v>55300</v>
      </c>
    </row>
    <row r="273" spans="1:10" ht="15" customHeight="1" x14ac:dyDescent="0.2">
      <c r="A273" s="159" t="s">
        <v>299</v>
      </c>
      <c r="B273" s="159"/>
      <c r="C273" s="159"/>
      <c r="D273" s="159"/>
      <c r="E273" s="160">
        <f t="shared" ref="E273:J273" si="51">SUM(E263,E272)</f>
        <v>508021.33</v>
      </c>
      <c r="F273" s="160">
        <f t="shared" si="51"/>
        <v>765600</v>
      </c>
      <c r="G273" s="160">
        <f t="shared" si="51"/>
        <v>735100</v>
      </c>
      <c r="H273" s="160">
        <f t="shared" si="51"/>
        <v>702100</v>
      </c>
      <c r="I273" s="160">
        <f t="shared" si="51"/>
        <v>785200</v>
      </c>
      <c r="J273" s="160">
        <f t="shared" si="51"/>
        <v>795500</v>
      </c>
    </row>
    <row r="274" spans="1:10" ht="15" customHeight="1" x14ac:dyDescent="0.2">
      <c r="A274" s="129"/>
      <c r="B274" s="129"/>
      <c r="C274" s="129"/>
      <c r="D274" s="129"/>
      <c r="E274" s="129"/>
      <c r="F274" s="129"/>
      <c r="G274" s="129"/>
      <c r="H274" s="129"/>
      <c r="I274" s="129"/>
      <c r="J274" s="190"/>
    </row>
    <row r="275" spans="1:10" ht="18.75" customHeight="1" x14ac:dyDescent="0.2">
      <c r="A275" s="162" t="s">
        <v>15</v>
      </c>
      <c r="B275" s="162"/>
      <c r="C275" s="162"/>
      <c r="D275" s="162"/>
      <c r="E275" s="162"/>
      <c r="F275" s="162"/>
      <c r="G275" s="162"/>
      <c r="H275" s="162"/>
      <c r="I275" s="162"/>
      <c r="J275" s="162"/>
    </row>
    <row r="276" spans="1:10" ht="19.5" customHeight="1" x14ac:dyDescent="0.2">
      <c r="A276" s="131" t="s">
        <v>242</v>
      </c>
      <c r="B276" s="131"/>
      <c r="C276" s="131"/>
      <c r="D276" s="131"/>
      <c r="E276" s="128" t="str">
        <f t="shared" ref="E276:J276" si="52">E37</f>
        <v>Actuals           2014-2015</v>
      </c>
      <c r="F276" s="128" t="str">
        <f t="shared" si="52"/>
        <v>Approved Estimates          2015-2016</v>
      </c>
      <c r="G276" s="128" t="str">
        <f t="shared" si="52"/>
        <v>Revised Estimates                 2015-2016</v>
      </c>
      <c r="H276" s="128" t="str">
        <f t="shared" si="52"/>
        <v>Budget Estimates      2016-2017</v>
      </c>
      <c r="I276" s="128" t="str">
        <f t="shared" si="52"/>
        <v>Forward Estimates     2017-2018</v>
      </c>
      <c r="J276" s="128" t="str">
        <f t="shared" si="52"/>
        <v>Forward Estimates     2018-2019</v>
      </c>
    </row>
    <row r="277" spans="1:10" x14ac:dyDescent="0.2">
      <c r="A277" s="130" t="s">
        <v>243</v>
      </c>
      <c r="B277" s="130" t="s">
        <v>244</v>
      </c>
      <c r="C277" s="131" t="s">
        <v>245</v>
      </c>
      <c r="D277" s="131"/>
      <c r="E277" s="101"/>
      <c r="F277" s="101"/>
      <c r="G277" s="101"/>
      <c r="H277" s="101"/>
      <c r="I277" s="101"/>
      <c r="J277" s="101"/>
    </row>
    <row r="278" spans="1:10" ht="19.5" x14ac:dyDescent="0.2">
      <c r="A278" s="467" t="s">
        <v>1343</v>
      </c>
      <c r="B278" s="144" t="s">
        <v>633</v>
      </c>
      <c r="C278" s="334" t="s">
        <v>1344</v>
      </c>
      <c r="D278" s="334"/>
      <c r="E278" s="158">
        <v>0</v>
      </c>
      <c r="F278" s="209">
        <v>0</v>
      </c>
      <c r="G278" s="158">
        <v>0</v>
      </c>
      <c r="H278" s="136">
        <v>0</v>
      </c>
      <c r="I278" s="158">
        <v>0</v>
      </c>
      <c r="J278" s="135">
        <v>0</v>
      </c>
    </row>
    <row r="279" spans="1:10" ht="19.5" x14ac:dyDescent="0.2">
      <c r="A279" s="467" t="s">
        <v>1282</v>
      </c>
      <c r="B279" s="144" t="s">
        <v>1283</v>
      </c>
      <c r="C279" s="134" t="s">
        <v>1345</v>
      </c>
      <c r="D279" s="134"/>
      <c r="E279" s="158">
        <v>85379</v>
      </c>
      <c r="F279" s="209">
        <v>0</v>
      </c>
      <c r="G279" s="158">
        <v>0</v>
      </c>
      <c r="H279" s="136">
        <v>0</v>
      </c>
      <c r="I279" s="158">
        <v>0</v>
      </c>
      <c r="J279" s="135">
        <v>0</v>
      </c>
    </row>
    <row r="280" spans="1:10" ht="19.5" x14ac:dyDescent="0.2">
      <c r="A280" s="467" t="s">
        <v>1285</v>
      </c>
      <c r="B280" s="144" t="s">
        <v>1346</v>
      </c>
      <c r="C280" s="134" t="s">
        <v>1347</v>
      </c>
      <c r="D280" s="134"/>
      <c r="E280" s="158">
        <v>176970.7</v>
      </c>
      <c r="F280" s="209">
        <v>0</v>
      </c>
      <c r="G280" s="158">
        <v>0</v>
      </c>
      <c r="H280" s="136">
        <v>0</v>
      </c>
      <c r="I280" s="158">
        <v>0</v>
      </c>
      <c r="J280" s="135">
        <v>0</v>
      </c>
    </row>
    <row r="281" spans="1:10" ht="15" customHeight="1" x14ac:dyDescent="0.2">
      <c r="A281" s="137" t="s">
        <v>15</v>
      </c>
      <c r="B281" s="137"/>
      <c r="C281" s="137"/>
      <c r="D281" s="137"/>
      <c r="E281" s="138">
        <v>0</v>
      </c>
      <c r="F281" s="138">
        <v>0</v>
      </c>
      <c r="G281" s="138">
        <v>0</v>
      </c>
      <c r="H281" s="138">
        <v>0</v>
      </c>
      <c r="I281" s="138">
        <v>0</v>
      </c>
      <c r="J281" s="138">
        <v>0</v>
      </c>
    </row>
    <row r="282" spans="1:10" ht="15" customHeight="1" x14ac:dyDescent="0.2">
      <c r="A282" s="290"/>
      <c r="B282" s="290"/>
      <c r="C282" s="290"/>
      <c r="D282" s="290"/>
      <c r="E282" s="290"/>
      <c r="F282" s="290"/>
      <c r="G282" s="290"/>
      <c r="H282" s="290"/>
      <c r="I282" s="290"/>
      <c r="J282" s="290"/>
    </row>
    <row r="283" spans="1:10" x14ac:dyDescent="0.2">
      <c r="A283" s="161" t="s">
        <v>288</v>
      </c>
      <c r="B283" s="161"/>
      <c r="C283" s="161"/>
      <c r="D283" s="161"/>
      <c r="E283" s="161"/>
      <c r="F283" s="202"/>
      <c r="G283" s="202"/>
      <c r="H283" s="202"/>
      <c r="I283" s="202"/>
      <c r="J283" s="202"/>
    </row>
    <row r="284" spans="1:10" x14ac:dyDescent="0.2">
      <c r="A284" s="131" t="s">
        <v>300</v>
      </c>
      <c r="B284" s="131"/>
      <c r="C284" s="131"/>
      <c r="D284" s="132" t="s">
        <v>301</v>
      </c>
      <c r="E284" s="291" t="s">
        <v>302</v>
      </c>
      <c r="F284" s="131"/>
      <c r="G284" s="131"/>
      <c r="H284" s="131"/>
      <c r="I284" s="132"/>
      <c r="J284" s="132"/>
    </row>
    <row r="285" spans="1:10" x14ac:dyDescent="0.2">
      <c r="A285" s="334" t="str">
        <f>Establishment!D351</f>
        <v>Director of Land Management</v>
      </c>
      <c r="B285" s="334"/>
      <c r="C285" s="334"/>
      <c r="D285" s="133" t="str">
        <f>Establishment!E351</f>
        <v>R7</v>
      </c>
      <c r="E285" s="133">
        <f>Establishment!C351</f>
        <v>0</v>
      </c>
      <c r="F285" s="334" t="str">
        <f>Establishment!D357</f>
        <v>Survey Technician</v>
      </c>
      <c r="G285" s="334"/>
      <c r="H285" s="334"/>
      <c r="I285" s="133" t="str">
        <f>Establishment!E357</f>
        <v>R28-22</v>
      </c>
      <c r="J285" s="133">
        <f>Establishment!C357</f>
        <v>1</v>
      </c>
    </row>
    <row r="286" spans="1:10" x14ac:dyDescent="0.2">
      <c r="A286" s="334" t="str">
        <f>Establishment!D352</f>
        <v>Chief Surveyor</v>
      </c>
      <c r="B286" s="334"/>
      <c r="C286" s="334"/>
      <c r="D286" s="133" t="str">
        <f>Establishment!E352</f>
        <v>R7</v>
      </c>
      <c r="E286" s="133">
        <f>Establishment!C352</f>
        <v>1</v>
      </c>
      <c r="F286" s="334" t="str">
        <f>Establishment!D358</f>
        <v>Survey Assistants/Chainmen</v>
      </c>
      <c r="G286" s="334"/>
      <c r="H286" s="334"/>
      <c r="I286" s="133" t="str">
        <f>Establishment!E358</f>
        <v>R46-34</v>
      </c>
      <c r="J286" s="133">
        <f>Establishment!C358</f>
        <v>3</v>
      </c>
    </row>
    <row r="287" spans="1:10" x14ac:dyDescent="0.2">
      <c r="A287" s="334" t="str">
        <f>Establishment!D353</f>
        <v>Registrar of Lands</v>
      </c>
      <c r="B287" s="334"/>
      <c r="C287" s="334"/>
      <c r="D287" s="133" t="str">
        <f>Establishment!E353</f>
        <v>R17-13/R12-8</v>
      </c>
      <c r="E287" s="133">
        <f>Establishment!C353</f>
        <v>1</v>
      </c>
      <c r="F287" s="334" t="str">
        <f>Establishment!D359</f>
        <v>Trainee Survey Technician</v>
      </c>
      <c r="G287" s="334"/>
      <c r="H287" s="334"/>
      <c r="I287" s="133" t="str">
        <f>Establishment!E359</f>
        <v>R46-34</v>
      </c>
      <c r="J287" s="133">
        <f>Establishment!C359</f>
        <v>1</v>
      </c>
    </row>
    <row r="288" spans="1:10" x14ac:dyDescent="0.2">
      <c r="A288" s="334" t="str">
        <f>Establishment!D354</f>
        <v>Land Officer</v>
      </c>
      <c r="B288" s="334"/>
      <c r="C288" s="334"/>
      <c r="D288" s="133" t="str">
        <f>Establishment!E354</f>
        <v>R22-16</v>
      </c>
      <c r="E288" s="133">
        <f>Establishment!C354</f>
        <v>1</v>
      </c>
      <c r="F288" s="334" t="str">
        <f>Establishment!D360</f>
        <v>Clerical Officer (Snr)</v>
      </c>
      <c r="G288" s="334"/>
      <c r="H288" s="334"/>
      <c r="I288" s="133" t="str">
        <f>Establishment!E360</f>
        <v>R33-29</v>
      </c>
      <c r="J288" s="133">
        <f>Establishment!C360</f>
        <v>1</v>
      </c>
    </row>
    <row r="289" spans="1:10" x14ac:dyDescent="0.2">
      <c r="A289" s="334" t="str">
        <f>Establishment!D355</f>
        <v>Surveyor</v>
      </c>
      <c r="B289" s="334"/>
      <c r="C289" s="334"/>
      <c r="D289" s="133" t="str">
        <f>Establishment!E355</f>
        <v>R22-16</v>
      </c>
      <c r="E289" s="133">
        <f>Establishment!C355</f>
        <v>2</v>
      </c>
      <c r="F289" s="334" t="str">
        <f>Establishment!D361</f>
        <v>Clerical Officer</v>
      </c>
      <c r="G289" s="334"/>
      <c r="H289" s="334"/>
      <c r="I289" s="133" t="str">
        <f>Establishment!E361</f>
        <v>R46-34</v>
      </c>
      <c r="J289" s="133">
        <f>Establishment!C361</f>
        <v>1</v>
      </c>
    </row>
    <row r="290" spans="1:10" x14ac:dyDescent="0.2">
      <c r="A290" s="334" t="str">
        <f>Establishment!D356</f>
        <v>Registration Officer</v>
      </c>
      <c r="B290" s="334"/>
      <c r="C290" s="334"/>
      <c r="D290" s="133" t="str">
        <f>Establishment!E356</f>
        <v>R22-18</v>
      </c>
      <c r="E290" s="133">
        <f>Establishment!C356</f>
        <v>1</v>
      </c>
      <c r="F290" s="334" t="str">
        <f>Establishment!D362</f>
        <v>Cadastral Clerk/Office Attendant</v>
      </c>
      <c r="G290" s="334"/>
      <c r="H290" s="334"/>
      <c r="I290" s="133" t="str">
        <f>Establishment!E362</f>
        <v>R46-34</v>
      </c>
      <c r="J290" s="133">
        <f>Establishment!C362</f>
        <v>1</v>
      </c>
    </row>
    <row r="291" spans="1:10" x14ac:dyDescent="0.2">
      <c r="A291" s="203" t="s">
        <v>303</v>
      </c>
      <c r="B291" s="203"/>
      <c r="C291" s="203"/>
      <c r="D291" s="203"/>
      <c r="E291" s="203"/>
      <c r="F291" s="203"/>
      <c r="G291" s="203"/>
      <c r="H291" s="203"/>
      <c r="I291" s="203"/>
      <c r="J291" s="204">
        <f>SUM(E281:E291,J281:J290)</f>
        <v>14</v>
      </c>
    </row>
    <row r="292" spans="1:10" ht="15" customHeight="1" x14ac:dyDescent="0.2">
      <c r="A292" s="129"/>
      <c r="B292" s="129"/>
      <c r="C292" s="129"/>
      <c r="D292" s="129"/>
      <c r="E292" s="129"/>
      <c r="F292" s="179"/>
      <c r="G292" s="179"/>
      <c r="H292" s="179"/>
      <c r="I292" s="179"/>
      <c r="J292" s="179"/>
    </row>
    <row r="293" spans="1:10" ht="15" customHeight="1" x14ac:dyDescent="0.2">
      <c r="A293" s="180" t="s">
        <v>304</v>
      </c>
      <c r="B293" s="180"/>
      <c r="C293" s="180"/>
      <c r="D293" s="180"/>
      <c r="E293" s="180"/>
      <c r="F293" s="180"/>
      <c r="G293" s="180"/>
      <c r="H293" s="180"/>
      <c r="I293" s="180"/>
      <c r="J293" s="180"/>
    </row>
    <row r="294" spans="1:10" x14ac:dyDescent="0.2">
      <c r="A294" s="181" t="s">
        <v>305</v>
      </c>
      <c r="B294" s="181"/>
      <c r="C294" s="181"/>
      <c r="D294" s="181"/>
      <c r="E294" s="181"/>
      <c r="F294" s="181"/>
      <c r="G294" s="181"/>
      <c r="H294" s="181"/>
      <c r="I294" s="181"/>
      <c r="J294" s="181"/>
    </row>
    <row r="295" spans="1:10" x14ac:dyDescent="0.2">
      <c r="A295" s="306" t="s">
        <v>1348</v>
      </c>
      <c r="B295" s="306"/>
      <c r="C295" s="306"/>
      <c r="D295" s="306"/>
      <c r="E295" s="306"/>
      <c r="F295" s="306"/>
      <c r="G295" s="306"/>
      <c r="H295" s="306"/>
      <c r="I295" s="306"/>
      <c r="J295" s="306"/>
    </row>
    <row r="296" spans="1:10" x14ac:dyDescent="0.2">
      <c r="A296" s="451" t="s">
        <v>1349</v>
      </c>
      <c r="B296" s="451"/>
      <c r="C296" s="451"/>
      <c r="D296" s="451"/>
      <c r="E296" s="451"/>
      <c r="F296" s="451"/>
      <c r="G296" s="451"/>
      <c r="H296" s="451"/>
      <c r="I296" s="451"/>
      <c r="J296" s="451"/>
    </row>
    <row r="297" spans="1:10" x14ac:dyDescent="0.2">
      <c r="A297" s="129"/>
      <c r="B297" s="129"/>
      <c r="C297" s="129"/>
      <c r="D297" s="129"/>
      <c r="E297" s="129"/>
      <c r="F297" s="129"/>
      <c r="G297" s="129"/>
      <c r="H297" s="129"/>
      <c r="I297" s="129"/>
      <c r="J297" s="129"/>
    </row>
    <row r="298" spans="1:10" x14ac:dyDescent="0.2">
      <c r="A298" s="183" t="s">
        <v>415</v>
      </c>
      <c r="B298" s="183"/>
      <c r="C298" s="183"/>
      <c r="D298" s="183"/>
      <c r="E298" s="183"/>
      <c r="F298" s="183"/>
      <c r="G298" s="183"/>
      <c r="H298" s="183"/>
      <c r="I298" s="183"/>
      <c r="J298" s="183"/>
    </row>
    <row r="299" spans="1:10" x14ac:dyDescent="0.2">
      <c r="A299" s="129"/>
      <c r="B299" s="129"/>
      <c r="C299" s="129"/>
      <c r="D299" s="129"/>
      <c r="E299" s="129"/>
      <c r="F299" s="129"/>
      <c r="G299" s="129"/>
      <c r="H299" s="129"/>
      <c r="I299" s="129"/>
      <c r="J299" s="129"/>
    </row>
    <row r="300" spans="1:10" x14ac:dyDescent="0.2">
      <c r="A300" s="129"/>
      <c r="B300" s="129"/>
      <c r="C300" s="129"/>
      <c r="D300" s="129"/>
      <c r="E300" s="129"/>
      <c r="F300" s="129"/>
      <c r="G300" s="129"/>
      <c r="H300" s="129"/>
      <c r="I300" s="129"/>
      <c r="J300" s="129"/>
    </row>
    <row r="301" spans="1:10" x14ac:dyDescent="0.2">
      <c r="A301" s="129"/>
      <c r="B301" s="129"/>
      <c r="C301" s="129"/>
      <c r="D301" s="129"/>
      <c r="E301" s="129"/>
      <c r="F301" s="129"/>
      <c r="G301" s="129"/>
      <c r="H301" s="129"/>
      <c r="I301" s="129"/>
      <c r="J301" s="129"/>
    </row>
    <row r="302" spans="1:10" x14ac:dyDescent="0.2">
      <c r="A302" s="129"/>
      <c r="B302" s="129"/>
      <c r="C302" s="129"/>
      <c r="D302" s="129"/>
      <c r="E302" s="129"/>
      <c r="F302" s="129"/>
      <c r="G302" s="129"/>
      <c r="H302" s="129"/>
      <c r="I302" s="129"/>
      <c r="J302" s="129"/>
    </row>
    <row r="303" spans="1:10" ht="22.5" x14ac:dyDescent="0.2">
      <c r="A303" s="180" t="s">
        <v>315</v>
      </c>
      <c r="B303" s="180"/>
      <c r="C303" s="180"/>
      <c r="D303" s="180"/>
      <c r="E303" s="180"/>
      <c r="F303" s="184" t="str">
        <f>F153</f>
        <v xml:space="preserve"> Actual 2014-2015</v>
      </c>
      <c r="G303" s="184" t="str">
        <f>G153</f>
        <v xml:space="preserve"> Estimate 2015-2016</v>
      </c>
      <c r="H303" s="184" t="str">
        <f>H153</f>
        <v xml:space="preserve"> Target 2016-2017</v>
      </c>
      <c r="I303" s="184" t="str">
        <f>I153</f>
        <v xml:space="preserve"> Target 2017-2018</v>
      </c>
      <c r="J303" s="184" t="str">
        <f>J153</f>
        <v xml:space="preserve"> Target 2018-2019</v>
      </c>
    </row>
    <row r="304" spans="1:10" x14ac:dyDescent="0.2">
      <c r="A304" s="180" t="s">
        <v>316</v>
      </c>
      <c r="B304" s="180"/>
      <c r="C304" s="180"/>
      <c r="D304" s="180"/>
      <c r="E304" s="180"/>
      <c r="F304" s="180"/>
      <c r="G304" s="180"/>
      <c r="H304" s="180"/>
      <c r="I304" s="180"/>
      <c r="J304" s="180"/>
    </row>
    <row r="305" spans="1:10" x14ac:dyDescent="0.2">
      <c r="A305" s="452" t="s">
        <v>1350</v>
      </c>
      <c r="B305" s="453"/>
      <c r="C305" s="453"/>
      <c r="D305" s="453"/>
      <c r="E305" s="454"/>
      <c r="F305" s="272"/>
      <c r="G305" s="191">
        <v>35</v>
      </c>
      <c r="H305" s="191">
        <v>50</v>
      </c>
      <c r="I305" s="191">
        <v>50</v>
      </c>
      <c r="J305" s="191">
        <v>50</v>
      </c>
    </row>
    <row r="306" spans="1:10" x14ac:dyDescent="0.2">
      <c r="A306" s="452" t="s">
        <v>1351</v>
      </c>
      <c r="B306" s="453"/>
      <c r="C306" s="453"/>
      <c r="D306" s="453"/>
      <c r="E306" s="454"/>
      <c r="F306" s="272"/>
      <c r="G306" s="191">
        <v>36</v>
      </c>
      <c r="H306" s="191">
        <v>48</v>
      </c>
      <c r="I306" s="191">
        <v>48</v>
      </c>
      <c r="J306" s="191">
        <v>48</v>
      </c>
    </row>
    <row r="307" spans="1:10" x14ac:dyDescent="0.2">
      <c r="A307" s="452" t="s">
        <v>1352</v>
      </c>
      <c r="B307" s="453"/>
      <c r="C307" s="453"/>
      <c r="D307" s="453"/>
      <c r="E307" s="454"/>
      <c r="F307" s="272">
        <v>42</v>
      </c>
      <c r="G307" s="191">
        <v>50</v>
      </c>
      <c r="H307" s="191">
        <v>50</v>
      </c>
      <c r="I307" s="191">
        <v>50</v>
      </c>
      <c r="J307" s="191">
        <v>50</v>
      </c>
    </row>
    <row r="308" spans="1:10" ht="21.75" customHeight="1" x14ac:dyDescent="0.2">
      <c r="A308" s="468" t="s">
        <v>1353</v>
      </c>
      <c r="B308" s="469"/>
      <c r="C308" s="469"/>
      <c r="D308" s="469"/>
      <c r="E308" s="470"/>
      <c r="F308" s="272">
        <v>675</v>
      </c>
      <c r="G308" s="191">
        <v>780</v>
      </c>
      <c r="H308" s="191">
        <v>800</v>
      </c>
      <c r="I308" s="191">
        <v>810</v>
      </c>
      <c r="J308" s="191">
        <v>821</v>
      </c>
    </row>
    <row r="309" spans="1:10" x14ac:dyDescent="0.2">
      <c r="A309" s="188"/>
      <c r="B309" s="188"/>
      <c r="C309" s="188"/>
      <c r="D309" s="188"/>
      <c r="E309" s="188"/>
      <c r="F309" s="273"/>
      <c r="G309" s="190"/>
      <c r="H309" s="190"/>
      <c r="I309" s="190"/>
      <c r="J309" s="190"/>
    </row>
    <row r="310" spans="1:10" x14ac:dyDescent="0.2">
      <c r="A310" s="180" t="s">
        <v>324</v>
      </c>
      <c r="B310" s="180"/>
      <c r="C310" s="180"/>
      <c r="D310" s="180"/>
      <c r="E310" s="180"/>
      <c r="F310" s="180"/>
      <c r="G310" s="180"/>
      <c r="H310" s="180"/>
      <c r="I310" s="180"/>
      <c r="J310" s="180"/>
    </row>
    <row r="311" spans="1:10" x14ac:dyDescent="0.2">
      <c r="A311" s="451" t="s">
        <v>1354</v>
      </c>
      <c r="B311" s="451"/>
      <c r="C311" s="451"/>
      <c r="D311" s="451"/>
      <c r="E311" s="451"/>
      <c r="F311" s="272"/>
      <c r="G311" s="191">
        <v>2</v>
      </c>
      <c r="H311" s="191">
        <v>1</v>
      </c>
      <c r="I311" s="191">
        <v>1</v>
      </c>
      <c r="J311" s="191">
        <v>1</v>
      </c>
    </row>
    <row r="312" spans="1:10" ht="24" customHeight="1" x14ac:dyDescent="0.2">
      <c r="A312" s="129"/>
      <c r="B312" s="129"/>
      <c r="C312" s="129"/>
      <c r="D312" s="129"/>
      <c r="E312" s="129"/>
      <c r="F312" s="129"/>
      <c r="G312" s="129"/>
      <c r="H312" s="129"/>
      <c r="I312" s="129"/>
      <c r="J312" s="129"/>
    </row>
    <row r="313" spans="1:10" x14ac:dyDescent="0.2">
      <c r="A313" s="150" t="s">
        <v>1355</v>
      </c>
      <c r="B313" s="150"/>
      <c r="C313" s="150"/>
      <c r="D313" s="150"/>
      <c r="E313" s="150"/>
      <c r="F313" s="150"/>
      <c r="G313" s="150"/>
      <c r="H313" s="150"/>
      <c r="I313" s="150"/>
      <c r="J313" s="150"/>
    </row>
    <row r="314" spans="1:10" x14ac:dyDescent="0.2">
      <c r="A314" s="389" t="s">
        <v>291</v>
      </c>
      <c r="B314" s="389"/>
      <c r="C314" s="389"/>
      <c r="D314" s="389"/>
      <c r="E314" s="389"/>
      <c r="F314" s="389"/>
      <c r="G314" s="389"/>
      <c r="H314" s="389"/>
      <c r="I314" s="389"/>
      <c r="J314" s="389"/>
    </row>
    <row r="315" spans="1:10" x14ac:dyDescent="0.2">
      <c r="A315" s="129" t="s">
        <v>1356</v>
      </c>
      <c r="B315" s="129"/>
      <c r="C315" s="129"/>
      <c r="D315" s="129"/>
      <c r="E315" s="129"/>
      <c r="F315" s="129"/>
      <c r="G315" s="129"/>
      <c r="H315" s="129"/>
      <c r="I315" s="129"/>
      <c r="J315" s="129"/>
    </row>
    <row r="316" spans="1:10" ht="15" customHeight="1" x14ac:dyDescent="0.2">
      <c r="A316" s="128" t="s">
        <v>293</v>
      </c>
      <c r="B316" s="128"/>
      <c r="C316" s="128"/>
      <c r="D316" s="128"/>
      <c r="E316" s="128"/>
      <c r="F316" s="128"/>
      <c r="G316" s="128"/>
      <c r="H316" s="128"/>
      <c r="I316" s="128"/>
      <c r="J316" s="128"/>
    </row>
    <row r="317" spans="1:10" ht="33.75" x14ac:dyDescent="0.2">
      <c r="A317" s="152" t="s">
        <v>243</v>
      </c>
      <c r="B317" s="151" t="s">
        <v>242</v>
      </c>
      <c r="C317" s="151"/>
      <c r="D317" s="151"/>
      <c r="E317" s="132" t="str">
        <f t="shared" ref="E317:J317" si="53">E37</f>
        <v>Actuals           2014-2015</v>
      </c>
      <c r="F317" s="132" t="str">
        <f t="shared" si="53"/>
        <v>Approved Estimates          2015-2016</v>
      </c>
      <c r="G317" s="132" t="str">
        <f t="shared" si="53"/>
        <v>Revised Estimates                 2015-2016</v>
      </c>
      <c r="H317" s="132" t="str">
        <f t="shared" si="53"/>
        <v>Budget Estimates      2016-2017</v>
      </c>
      <c r="I317" s="132" t="str">
        <f t="shared" si="53"/>
        <v>Forward Estimates     2017-2018</v>
      </c>
      <c r="J317" s="132" t="str">
        <f t="shared" si="53"/>
        <v>Forward Estimates     2018-2019</v>
      </c>
    </row>
    <row r="318" spans="1:10" x14ac:dyDescent="0.2">
      <c r="A318" s="207">
        <v>130</v>
      </c>
      <c r="B318" s="129" t="s">
        <v>1357</v>
      </c>
      <c r="C318" s="129" t="s">
        <v>1357</v>
      </c>
      <c r="D318" s="129" t="s">
        <v>1357</v>
      </c>
      <c r="E318" s="211">
        <v>16600</v>
      </c>
      <c r="F318" s="211">
        <v>18000</v>
      </c>
      <c r="G318" s="211">
        <v>22200</v>
      </c>
      <c r="H318" s="210">
        <v>29600</v>
      </c>
      <c r="I318" s="211">
        <v>29600</v>
      </c>
      <c r="J318" s="211">
        <v>29700</v>
      </c>
    </row>
    <row r="319" spans="1:10" x14ac:dyDescent="0.2">
      <c r="A319" s="207">
        <v>130</v>
      </c>
      <c r="B319" s="129" t="s">
        <v>1358</v>
      </c>
      <c r="C319" s="129" t="s">
        <v>1358</v>
      </c>
      <c r="D319" s="129" t="s">
        <v>1358</v>
      </c>
      <c r="E319" s="211">
        <v>32300</v>
      </c>
      <c r="F319" s="211">
        <v>20000</v>
      </c>
      <c r="G319" s="211">
        <v>23500</v>
      </c>
      <c r="H319" s="210">
        <v>20600</v>
      </c>
      <c r="I319" s="211">
        <v>20600</v>
      </c>
      <c r="J319" s="211">
        <v>20600</v>
      </c>
    </row>
    <row r="320" spans="1:10" x14ac:dyDescent="0.2">
      <c r="A320" s="207">
        <v>130</v>
      </c>
      <c r="B320" s="129" t="s">
        <v>1359</v>
      </c>
      <c r="C320" s="129" t="s">
        <v>1359</v>
      </c>
      <c r="D320" s="129" t="s">
        <v>1359</v>
      </c>
      <c r="E320" s="211">
        <v>4220</v>
      </c>
      <c r="F320" s="211">
        <v>2000</v>
      </c>
      <c r="G320" s="211">
        <v>900</v>
      </c>
      <c r="H320" s="210">
        <v>2000</v>
      </c>
      <c r="I320" s="211">
        <v>2000</v>
      </c>
      <c r="J320" s="211">
        <v>2000</v>
      </c>
    </row>
    <row r="321" spans="1:10" x14ac:dyDescent="0.2">
      <c r="A321" s="207">
        <v>130</v>
      </c>
      <c r="B321" s="129" t="s">
        <v>1360</v>
      </c>
      <c r="C321" s="129" t="s">
        <v>1360</v>
      </c>
      <c r="D321" s="129" t="s">
        <v>1360</v>
      </c>
      <c r="E321" s="211">
        <v>1015</v>
      </c>
      <c r="F321" s="211">
        <v>1000</v>
      </c>
      <c r="G321" s="211">
        <v>800</v>
      </c>
      <c r="H321" s="210">
        <v>1000</v>
      </c>
      <c r="I321" s="211">
        <v>1000</v>
      </c>
      <c r="J321" s="211">
        <v>1000</v>
      </c>
    </row>
    <row r="322" spans="1:10" x14ac:dyDescent="0.2">
      <c r="A322" s="207">
        <v>130</v>
      </c>
      <c r="B322" s="129" t="s">
        <v>1361</v>
      </c>
      <c r="C322" s="129" t="s">
        <v>1361</v>
      </c>
      <c r="D322" s="129" t="s">
        <v>1361</v>
      </c>
      <c r="E322" s="211">
        <v>0</v>
      </c>
      <c r="F322" s="211">
        <v>2000</v>
      </c>
      <c r="G322" s="211">
        <v>1200</v>
      </c>
      <c r="H322" s="210">
        <v>2000</v>
      </c>
      <c r="I322" s="211">
        <v>2000</v>
      </c>
      <c r="J322" s="211">
        <v>2000</v>
      </c>
    </row>
    <row r="323" spans="1:10" x14ac:dyDescent="0.2">
      <c r="A323" s="137" t="s">
        <v>1274</v>
      </c>
      <c r="B323" s="137"/>
      <c r="C323" s="137"/>
      <c r="D323" s="137"/>
      <c r="E323" s="138">
        <f t="shared" ref="E323:J323" si="54">SUM(E318:E322)</f>
        <v>54135</v>
      </c>
      <c r="F323" s="138">
        <f t="shared" si="54"/>
        <v>43000</v>
      </c>
      <c r="G323" s="138">
        <f t="shared" si="54"/>
        <v>48600</v>
      </c>
      <c r="H323" s="138">
        <f t="shared" si="54"/>
        <v>55200</v>
      </c>
      <c r="I323" s="138">
        <f t="shared" si="54"/>
        <v>55200</v>
      </c>
      <c r="J323" s="138">
        <f t="shared" si="54"/>
        <v>55300</v>
      </c>
    </row>
    <row r="324" spans="1:10" x14ac:dyDescent="0.2">
      <c r="A324" s="129"/>
      <c r="B324" s="129"/>
      <c r="C324" s="129"/>
      <c r="D324" s="129"/>
      <c r="E324" s="129"/>
      <c r="F324" s="129"/>
      <c r="G324" s="129"/>
      <c r="H324" s="129"/>
      <c r="I324" s="129"/>
      <c r="J324" s="129"/>
    </row>
    <row r="325" spans="1:10" x14ac:dyDescent="0.2">
      <c r="A325" s="128" t="s">
        <v>284</v>
      </c>
      <c r="B325" s="128"/>
      <c r="C325" s="128"/>
      <c r="D325" s="128"/>
      <c r="E325" s="128"/>
      <c r="F325" s="128"/>
      <c r="G325" s="128"/>
      <c r="H325" s="128"/>
      <c r="I325" s="128"/>
      <c r="J325" s="128"/>
    </row>
    <row r="326" spans="1:10" ht="33.75" x14ac:dyDescent="0.2">
      <c r="A326" s="152" t="s">
        <v>243</v>
      </c>
      <c r="B326" s="151" t="s">
        <v>242</v>
      </c>
      <c r="C326" s="151"/>
      <c r="D326" s="151"/>
      <c r="E326" s="132" t="str">
        <f t="shared" ref="E326:J326" si="55">E37</f>
        <v>Actuals           2014-2015</v>
      </c>
      <c r="F326" s="132" t="str">
        <f t="shared" si="55"/>
        <v>Approved Estimates          2015-2016</v>
      </c>
      <c r="G326" s="132" t="str">
        <f t="shared" si="55"/>
        <v>Revised Estimates                 2015-2016</v>
      </c>
      <c r="H326" s="132" t="str">
        <f t="shared" si="55"/>
        <v>Budget Estimates      2016-2017</v>
      </c>
      <c r="I326" s="132" t="str">
        <f t="shared" si="55"/>
        <v>Forward Estimates     2017-2018</v>
      </c>
      <c r="J326" s="132" t="str">
        <f t="shared" si="55"/>
        <v>Forward Estimates     2018-2019</v>
      </c>
    </row>
    <row r="327" spans="1:10" x14ac:dyDescent="0.2">
      <c r="A327" s="151" t="s">
        <v>7</v>
      </c>
      <c r="B327" s="151"/>
      <c r="C327" s="151"/>
      <c r="D327" s="151"/>
      <c r="E327" s="151"/>
      <c r="F327" s="151"/>
      <c r="G327" s="151"/>
      <c r="H327" s="151"/>
      <c r="I327" s="151"/>
      <c r="J327" s="190"/>
    </row>
    <row r="328" spans="1:10" x14ac:dyDescent="0.2">
      <c r="A328" s="207">
        <v>210</v>
      </c>
      <c r="B328" s="129" t="s">
        <v>7</v>
      </c>
      <c r="C328" s="129"/>
      <c r="D328" s="129"/>
      <c r="E328" s="211">
        <v>412865.9</v>
      </c>
      <c r="F328" s="209">
        <v>506800</v>
      </c>
      <c r="G328" s="211">
        <v>506800</v>
      </c>
      <c r="H328" s="210">
        <v>529600</v>
      </c>
      <c r="I328" s="209">
        <v>559000</v>
      </c>
      <c r="J328" s="209">
        <v>568300</v>
      </c>
    </row>
    <row r="329" spans="1:10" x14ac:dyDescent="0.2">
      <c r="A329" s="207">
        <v>212</v>
      </c>
      <c r="B329" s="129" t="s">
        <v>9</v>
      </c>
      <c r="C329" s="129"/>
      <c r="D329" s="129"/>
      <c r="E329" s="211">
        <v>0</v>
      </c>
      <c r="F329" s="209">
        <v>0</v>
      </c>
      <c r="G329" s="211">
        <v>0</v>
      </c>
      <c r="H329" s="210">
        <v>0</v>
      </c>
      <c r="I329" s="209">
        <v>0</v>
      </c>
      <c r="J329" s="209">
        <v>0</v>
      </c>
    </row>
    <row r="330" spans="1:10" x14ac:dyDescent="0.2">
      <c r="A330" s="207">
        <v>216</v>
      </c>
      <c r="B330" s="129" t="s">
        <v>10</v>
      </c>
      <c r="C330" s="129"/>
      <c r="D330" s="129"/>
      <c r="E330" s="211">
        <v>57625.4</v>
      </c>
      <c r="F330" s="209">
        <v>64200</v>
      </c>
      <c r="G330" s="211">
        <v>64200</v>
      </c>
      <c r="H330" s="210">
        <v>70800</v>
      </c>
      <c r="I330" s="209">
        <v>70800</v>
      </c>
      <c r="J330" s="209">
        <v>70800</v>
      </c>
    </row>
    <row r="331" spans="1:10" x14ac:dyDescent="0.2">
      <c r="A331" s="207">
        <v>218</v>
      </c>
      <c r="B331" s="129" t="s">
        <v>294</v>
      </c>
      <c r="C331" s="129"/>
      <c r="D331" s="129"/>
      <c r="E331" s="211">
        <v>0</v>
      </c>
      <c r="F331" s="209">
        <v>0</v>
      </c>
      <c r="G331" s="211">
        <v>0</v>
      </c>
      <c r="H331" s="210">
        <v>6400</v>
      </c>
      <c r="I331" s="209">
        <v>0</v>
      </c>
      <c r="J331" s="209">
        <v>0</v>
      </c>
    </row>
    <row r="332" spans="1:10" x14ac:dyDescent="0.2">
      <c r="A332" s="156" t="s">
        <v>295</v>
      </c>
      <c r="B332" s="156"/>
      <c r="C332" s="156"/>
      <c r="D332" s="156"/>
      <c r="E332" s="157">
        <f t="shared" ref="E332:J332" si="56">SUM(E328:E331)</f>
        <v>470491.30000000005</v>
      </c>
      <c r="F332" s="157">
        <f t="shared" si="56"/>
        <v>571000</v>
      </c>
      <c r="G332" s="157">
        <f t="shared" si="56"/>
        <v>571000</v>
      </c>
      <c r="H332" s="157">
        <f t="shared" si="56"/>
        <v>606800</v>
      </c>
      <c r="I332" s="157">
        <f t="shared" si="56"/>
        <v>629800</v>
      </c>
      <c r="J332" s="157">
        <f t="shared" si="56"/>
        <v>639100</v>
      </c>
    </row>
    <row r="333" spans="1:10" x14ac:dyDescent="0.2">
      <c r="A333" s="156" t="s">
        <v>296</v>
      </c>
      <c r="B333" s="156"/>
      <c r="C333" s="156"/>
      <c r="D333" s="156"/>
      <c r="E333" s="156"/>
      <c r="F333" s="156"/>
      <c r="G333" s="156"/>
      <c r="H333" s="156"/>
      <c r="I333" s="156"/>
      <c r="J333" s="190"/>
    </row>
    <row r="334" spans="1:10" x14ac:dyDescent="0.2">
      <c r="A334" s="207">
        <v>228</v>
      </c>
      <c r="B334" s="129" t="s">
        <v>208</v>
      </c>
      <c r="C334" s="129"/>
      <c r="D334" s="129"/>
      <c r="E334" s="211">
        <v>4924.29</v>
      </c>
      <c r="F334" s="211">
        <v>5000</v>
      </c>
      <c r="G334" s="211">
        <v>5000</v>
      </c>
      <c r="H334" s="210">
        <v>7000</v>
      </c>
      <c r="I334" s="211">
        <v>7000</v>
      </c>
      <c r="J334" s="211">
        <v>7000</v>
      </c>
    </row>
    <row r="335" spans="1:10" x14ac:dyDescent="0.2">
      <c r="A335" s="207">
        <v>232</v>
      </c>
      <c r="B335" s="129" t="s">
        <v>211</v>
      </c>
      <c r="C335" s="129"/>
      <c r="D335" s="129"/>
      <c r="E335" s="211">
        <v>6100</v>
      </c>
      <c r="F335" s="211">
        <v>7500</v>
      </c>
      <c r="G335" s="211">
        <v>7500</v>
      </c>
      <c r="H335" s="210">
        <v>7500</v>
      </c>
      <c r="I335" s="211">
        <v>7500</v>
      </c>
      <c r="J335" s="211">
        <v>7500</v>
      </c>
    </row>
    <row r="336" spans="1:10" ht="15" customHeight="1" x14ac:dyDescent="0.2">
      <c r="A336" s="207">
        <v>236</v>
      </c>
      <c r="B336" s="323" t="s">
        <v>213</v>
      </c>
      <c r="C336" s="324"/>
      <c r="D336" s="325"/>
      <c r="E336" s="211">
        <v>0</v>
      </c>
      <c r="F336" s="211">
        <v>0</v>
      </c>
      <c r="G336" s="211">
        <v>0</v>
      </c>
      <c r="H336" s="210">
        <v>19200</v>
      </c>
      <c r="I336" s="209">
        <v>19200</v>
      </c>
      <c r="J336" s="209">
        <v>19200</v>
      </c>
    </row>
    <row r="337" spans="1:10" ht="13.9" customHeight="1" x14ac:dyDescent="0.2">
      <c r="A337" s="207">
        <v>244</v>
      </c>
      <c r="B337" s="129" t="s">
        <v>217</v>
      </c>
      <c r="C337" s="129"/>
      <c r="D337" s="129"/>
      <c r="E337" s="211">
        <v>500</v>
      </c>
      <c r="F337" s="211">
        <v>500</v>
      </c>
      <c r="G337" s="211">
        <v>500</v>
      </c>
      <c r="H337" s="210">
        <v>500</v>
      </c>
      <c r="I337" s="211">
        <v>500</v>
      </c>
      <c r="J337" s="211">
        <v>500</v>
      </c>
    </row>
    <row r="338" spans="1:10" ht="13.9" customHeight="1" x14ac:dyDescent="0.2">
      <c r="A338" s="207">
        <v>273</v>
      </c>
      <c r="B338" s="129" t="s">
        <v>1362</v>
      </c>
      <c r="C338" s="129"/>
      <c r="D338" s="129"/>
      <c r="E338" s="211">
        <v>0</v>
      </c>
      <c r="F338" s="211">
        <v>6000</v>
      </c>
      <c r="G338" s="211">
        <v>3000</v>
      </c>
      <c r="H338" s="210">
        <v>6000</v>
      </c>
      <c r="I338" s="211">
        <v>6000</v>
      </c>
      <c r="J338" s="211">
        <v>6000</v>
      </c>
    </row>
    <row r="339" spans="1:10" ht="13.9" customHeight="1" x14ac:dyDescent="0.2">
      <c r="A339" s="207">
        <v>275</v>
      </c>
      <c r="B339" s="129" t="s">
        <v>228</v>
      </c>
      <c r="C339" s="129"/>
      <c r="D339" s="129"/>
      <c r="E339" s="211">
        <v>3927.5</v>
      </c>
      <c r="F339" s="211">
        <v>4000</v>
      </c>
      <c r="G339" s="211">
        <v>4000</v>
      </c>
      <c r="H339" s="210">
        <v>4000</v>
      </c>
      <c r="I339" s="211">
        <v>4000</v>
      </c>
      <c r="J339" s="211">
        <v>4000</v>
      </c>
    </row>
    <row r="340" spans="1:10" ht="13.9" customHeight="1" x14ac:dyDescent="0.2">
      <c r="A340" s="156" t="s">
        <v>298</v>
      </c>
      <c r="B340" s="156"/>
      <c r="C340" s="156"/>
      <c r="D340" s="156"/>
      <c r="E340" s="157">
        <f t="shared" ref="E340:J340" si="57">SUM(E334:E339)</f>
        <v>15451.79</v>
      </c>
      <c r="F340" s="264">
        <f t="shared" si="57"/>
        <v>23000</v>
      </c>
      <c r="G340" s="157">
        <f t="shared" si="57"/>
        <v>20000</v>
      </c>
      <c r="H340" s="157">
        <f t="shared" si="57"/>
        <v>44200</v>
      </c>
      <c r="I340" s="157">
        <f t="shared" si="57"/>
        <v>44200</v>
      </c>
      <c r="J340" s="157">
        <f t="shared" si="57"/>
        <v>44200</v>
      </c>
    </row>
    <row r="341" spans="1:10" ht="13.9" customHeight="1" x14ac:dyDescent="0.2">
      <c r="A341" s="159" t="s">
        <v>299</v>
      </c>
      <c r="B341" s="159"/>
      <c r="C341" s="159"/>
      <c r="D341" s="159"/>
      <c r="E341" s="160">
        <f t="shared" ref="E341:J341" si="58">SUM(E332,E340)</f>
        <v>485943.09</v>
      </c>
      <c r="F341" s="160">
        <f t="shared" si="58"/>
        <v>594000</v>
      </c>
      <c r="G341" s="160">
        <f t="shared" si="58"/>
        <v>591000</v>
      </c>
      <c r="H341" s="160">
        <f t="shared" si="58"/>
        <v>651000</v>
      </c>
      <c r="I341" s="160">
        <f t="shared" si="58"/>
        <v>674000</v>
      </c>
      <c r="J341" s="160">
        <f t="shared" si="58"/>
        <v>683300</v>
      </c>
    </row>
    <row r="342" spans="1:10" ht="13.9" customHeight="1" x14ac:dyDescent="0.2">
      <c r="A342" s="162" t="s">
        <v>15</v>
      </c>
      <c r="B342" s="162"/>
      <c r="C342" s="162"/>
      <c r="D342" s="162"/>
      <c r="E342" s="162"/>
      <c r="F342" s="162"/>
      <c r="G342" s="162"/>
      <c r="H342" s="162"/>
      <c r="I342" s="162"/>
      <c r="J342" s="162"/>
    </row>
    <row r="343" spans="1:10" ht="18.75" customHeight="1" x14ac:dyDescent="0.2">
      <c r="A343" s="131" t="s">
        <v>242</v>
      </c>
      <c r="B343" s="131"/>
      <c r="C343" s="131"/>
      <c r="D343" s="131"/>
      <c r="E343" s="128" t="str">
        <f t="shared" ref="E343:J343" si="59">E37</f>
        <v>Actuals           2014-2015</v>
      </c>
      <c r="F343" s="128" t="str">
        <f t="shared" si="59"/>
        <v>Approved Estimates          2015-2016</v>
      </c>
      <c r="G343" s="128" t="str">
        <f t="shared" si="59"/>
        <v>Revised Estimates                 2015-2016</v>
      </c>
      <c r="H343" s="128" t="str">
        <f t="shared" si="59"/>
        <v>Budget Estimates      2016-2017</v>
      </c>
      <c r="I343" s="128" t="str">
        <f t="shared" si="59"/>
        <v>Forward Estimates     2017-2018</v>
      </c>
      <c r="J343" s="128" t="str">
        <f t="shared" si="59"/>
        <v>Forward Estimates     2018-2019</v>
      </c>
    </row>
    <row r="344" spans="1:10" x14ac:dyDescent="0.2">
      <c r="A344" s="130" t="s">
        <v>243</v>
      </c>
      <c r="B344" s="130" t="s">
        <v>244</v>
      </c>
      <c r="C344" s="131" t="s">
        <v>245</v>
      </c>
      <c r="D344" s="131"/>
      <c r="E344" s="101"/>
      <c r="F344" s="101"/>
      <c r="G344" s="101"/>
      <c r="H344" s="101"/>
      <c r="I344" s="101"/>
      <c r="J344" s="101"/>
    </row>
    <row r="345" spans="1:10" x14ac:dyDescent="0.2">
      <c r="A345" s="163"/>
      <c r="B345" s="163"/>
      <c r="C345" s="156"/>
      <c r="D345" s="156"/>
      <c r="E345" s="158"/>
      <c r="F345" s="209"/>
      <c r="G345" s="158"/>
      <c r="H345" s="136"/>
      <c r="I345" s="158"/>
      <c r="J345" s="135"/>
    </row>
    <row r="346" spans="1:10" ht="18.600000000000001" customHeight="1" x14ac:dyDescent="0.2">
      <c r="A346" s="163"/>
      <c r="B346" s="163"/>
      <c r="C346" s="156"/>
      <c r="D346" s="156"/>
      <c r="E346" s="158"/>
      <c r="F346" s="209"/>
      <c r="G346" s="158"/>
      <c r="H346" s="136"/>
      <c r="I346" s="158"/>
      <c r="J346" s="135"/>
    </row>
    <row r="347" spans="1:10" x14ac:dyDescent="0.2">
      <c r="A347" s="137" t="s">
        <v>284</v>
      </c>
      <c r="B347" s="137"/>
      <c r="C347" s="137"/>
      <c r="D347" s="137"/>
      <c r="E347" s="138">
        <f t="shared" ref="E347:J347" si="60">SUM(E345:E346)</f>
        <v>0</v>
      </c>
      <c r="F347" s="138">
        <f t="shared" si="60"/>
        <v>0</v>
      </c>
      <c r="G347" s="138">
        <f t="shared" si="60"/>
        <v>0</v>
      </c>
      <c r="H347" s="138">
        <f t="shared" si="60"/>
        <v>0</v>
      </c>
      <c r="I347" s="138">
        <f t="shared" si="60"/>
        <v>0</v>
      </c>
      <c r="J347" s="138">
        <f t="shared" si="60"/>
        <v>0</v>
      </c>
    </row>
    <row r="348" spans="1:10" x14ac:dyDescent="0.2">
      <c r="A348" s="290"/>
      <c r="B348" s="290"/>
      <c r="C348" s="290"/>
      <c r="D348" s="290"/>
      <c r="E348" s="290"/>
      <c r="F348" s="290"/>
      <c r="G348" s="290"/>
      <c r="H348" s="290"/>
      <c r="I348" s="290"/>
      <c r="J348" s="290"/>
    </row>
    <row r="349" spans="1:10" x14ac:dyDescent="0.2">
      <c r="A349" s="161" t="s">
        <v>288</v>
      </c>
      <c r="B349" s="161"/>
      <c r="C349" s="161"/>
      <c r="D349" s="161"/>
      <c r="E349" s="161"/>
      <c r="F349" s="202"/>
      <c r="G349" s="202"/>
      <c r="H349" s="202"/>
      <c r="I349" s="202"/>
      <c r="J349" s="202"/>
    </row>
    <row r="350" spans="1:10" x14ac:dyDescent="0.2">
      <c r="A350" s="131" t="s">
        <v>300</v>
      </c>
      <c r="B350" s="131"/>
      <c r="C350" s="131"/>
      <c r="D350" s="132" t="s">
        <v>301</v>
      </c>
      <c r="E350" s="132" t="s">
        <v>302</v>
      </c>
      <c r="F350" s="131" t="s">
        <v>300</v>
      </c>
      <c r="G350" s="131"/>
      <c r="H350" s="131"/>
      <c r="I350" s="132" t="s">
        <v>301</v>
      </c>
      <c r="J350" s="132" t="s">
        <v>302</v>
      </c>
    </row>
    <row r="351" spans="1:10" ht="15" customHeight="1" x14ac:dyDescent="0.2">
      <c r="A351" s="134" t="str">
        <f>Establishment!D367</f>
        <v>Chief Physical Planner</v>
      </c>
      <c r="B351" s="134"/>
      <c r="C351" s="134"/>
      <c r="D351" s="133" t="str">
        <f>Establishment!E367</f>
        <v>R14-10</v>
      </c>
      <c r="E351" s="133">
        <f>Establishment!C367</f>
        <v>1</v>
      </c>
      <c r="F351" s="134" t="str">
        <f>Establishment!D373</f>
        <v>Building Inspector</v>
      </c>
      <c r="G351" s="134"/>
      <c r="H351" s="134"/>
      <c r="I351" s="133" t="str">
        <f>Establishment!E373</f>
        <v>R28-22</v>
      </c>
      <c r="J351" s="133">
        <f>Establishment!C373</f>
        <v>1</v>
      </c>
    </row>
    <row r="352" spans="1:10" ht="14.25" customHeight="1" x14ac:dyDescent="0.2">
      <c r="A352" s="134" t="str">
        <f>Establishment!D368</f>
        <v>Physical Planner</v>
      </c>
      <c r="B352" s="134"/>
      <c r="C352" s="134"/>
      <c r="D352" s="133" t="str">
        <f>Establishment!E368</f>
        <v>R17-13</v>
      </c>
      <c r="E352" s="133">
        <f>Establishment!C368</f>
        <v>1</v>
      </c>
      <c r="F352" s="134" t="str">
        <f>Establishment!D374</f>
        <v>Electrical Inspector</v>
      </c>
      <c r="G352" s="134"/>
      <c r="H352" s="134"/>
      <c r="I352" s="133" t="str">
        <f>Establishment!E374</f>
        <v>R28-22</v>
      </c>
      <c r="J352" s="133">
        <f>Establishment!C374</f>
        <v>1</v>
      </c>
    </row>
    <row r="353" spans="1:10" ht="14.25" customHeight="1" x14ac:dyDescent="0.2">
      <c r="A353" s="134" t="str">
        <f>Establishment!D369</f>
        <v>GIS Systems Manager</v>
      </c>
      <c r="B353" s="134"/>
      <c r="C353" s="134"/>
      <c r="D353" s="133" t="str">
        <f>Establishment!E369</f>
        <v>R22-16/R17-13</v>
      </c>
      <c r="E353" s="133">
        <f>Establishment!C369</f>
        <v>1</v>
      </c>
      <c r="F353" s="134" t="str">
        <f>Establishment!D375</f>
        <v>GIS Officer</v>
      </c>
      <c r="G353" s="134"/>
      <c r="H353" s="134"/>
      <c r="I353" s="133" t="str">
        <f>Establishment!E375</f>
        <v>R28-22/R22-16</v>
      </c>
      <c r="J353" s="133">
        <f>Establishment!C375</f>
        <v>1</v>
      </c>
    </row>
    <row r="354" spans="1:10" ht="14.25" customHeight="1" x14ac:dyDescent="0.2">
      <c r="A354" s="134" t="str">
        <f>Establishment!D370</f>
        <v>Building Inspector (Snr)</v>
      </c>
      <c r="B354" s="134"/>
      <c r="C354" s="134"/>
      <c r="D354" s="133" t="str">
        <f>Establishment!E370</f>
        <v>R22-16</v>
      </c>
      <c r="E354" s="133">
        <f>Establishment!C370</f>
        <v>1</v>
      </c>
      <c r="F354" s="134" t="str">
        <f>Establishment!D376</f>
        <v>GIS Technician</v>
      </c>
      <c r="G354" s="134"/>
      <c r="H354" s="134"/>
      <c r="I354" s="133" t="str">
        <f>Establishment!E376</f>
        <v>R46-34/R33-29</v>
      </c>
      <c r="J354" s="133">
        <f>Establishment!C376</f>
        <v>1</v>
      </c>
    </row>
    <row r="355" spans="1:10" ht="13.9" customHeight="1" x14ac:dyDescent="0.2">
      <c r="A355" s="134" t="str">
        <f>Establishment!D371</f>
        <v>Electrical Inspector (Snr)</v>
      </c>
      <c r="B355" s="134"/>
      <c r="C355" s="134"/>
      <c r="D355" s="133" t="str">
        <f>Establishment!E371</f>
        <v>R22-16</v>
      </c>
      <c r="E355" s="133">
        <f>Establishment!C371</f>
        <v>1</v>
      </c>
      <c r="F355" s="134" t="str">
        <f>Establishment!D377</f>
        <v>Clerical Officer</v>
      </c>
      <c r="G355" s="134"/>
      <c r="H355" s="134"/>
      <c r="I355" s="133" t="str">
        <f>Establishment!E377</f>
        <v>R46-34</v>
      </c>
      <c r="J355" s="133">
        <f>Establishment!C377</f>
        <v>2</v>
      </c>
    </row>
    <row r="356" spans="1:10" ht="13.9" customHeight="1" x14ac:dyDescent="0.2">
      <c r="A356" s="134" t="str">
        <f>Establishment!D372</f>
        <v>Physical Planning Officer</v>
      </c>
      <c r="B356" s="134"/>
      <c r="C356" s="134"/>
      <c r="D356" s="133" t="str">
        <f>Establishment!E372</f>
        <v>R28-22</v>
      </c>
      <c r="E356" s="133">
        <f>Establishment!C372</f>
        <v>1</v>
      </c>
      <c r="F356" s="134"/>
      <c r="G356" s="134"/>
      <c r="H356" s="134"/>
      <c r="I356" s="133"/>
      <c r="J356" s="133"/>
    </row>
    <row r="357" spans="1:10" ht="13.9" customHeight="1" x14ac:dyDescent="0.2">
      <c r="A357" s="203" t="s">
        <v>303</v>
      </c>
      <c r="B357" s="203"/>
      <c r="C357" s="203"/>
      <c r="D357" s="203"/>
      <c r="E357" s="203">
        <f>SUM(E351:E355)</f>
        <v>5</v>
      </c>
      <c r="F357" s="203"/>
      <c r="G357" s="203"/>
      <c r="H357" s="203"/>
      <c r="I357" s="203"/>
      <c r="J357" s="204">
        <f>SUM(E351:E356,J351:J356)</f>
        <v>12</v>
      </c>
    </row>
    <row r="358" spans="1:10" ht="13.9" customHeight="1" x14ac:dyDescent="0.2">
      <c r="A358" s="129"/>
      <c r="B358" s="129"/>
      <c r="C358" s="129"/>
      <c r="D358" s="129"/>
      <c r="E358" s="129"/>
      <c r="F358" s="179"/>
      <c r="G358" s="179"/>
      <c r="H358" s="179"/>
      <c r="I358" s="179"/>
      <c r="J358" s="179"/>
    </row>
    <row r="359" spans="1:10" x14ac:dyDescent="0.2">
      <c r="A359" s="180" t="s">
        <v>304</v>
      </c>
      <c r="B359" s="180"/>
      <c r="C359" s="180"/>
      <c r="D359" s="180"/>
      <c r="E359" s="180"/>
      <c r="F359" s="180"/>
      <c r="G359" s="180"/>
      <c r="H359" s="180"/>
      <c r="I359" s="180"/>
      <c r="J359" s="180"/>
    </row>
    <row r="360" spans="1:10" x14ac:dyDescent="0.2">
      <c r="A360" s="181" t="s">
        <v>305</v>
      </c>
      <c r="B360" s="181"/>
      <c r="C360" s="181"/>
      <c r="D360" s="181"/>
      <c r="E360" s="181"/>
      <c r="F360" s="181"/>
      <c r="G360" s="181"/>
      <c r="H360" s="181"/>
      <c r="I360" s="181"/>
      <c r="J360" s="181"/>
    </row>
    <row r="361" spans="1:10" x14ac:dyDescent="0.2">
      <c r="A361" s="129" t="s">
        <v>1363</v>
      </c>
      <c r="B361" s="129"/>
      <c r="C361" s="129"/>
      <c r="D361" s="129"/>
      <c r="E361" s="129"/>
      <c r="F361" s="129"/>
      <c r="G361" s="129"/>
      <c r="H361" s="129"/>
      <c r="I361" s="129"/>
      <c r="J361" s="129"/>
    </row>
    <row r="362" spans="1:10" x14ac:dyDescent="0.2">
      <c r="A362" s="306" t="s">
        <v>1364</v>
      </c>
      <c r="B362" s="306"/>
      <c r="C362" s="306"/>
      <c r="D362" s="306"/>
      <c r="E362" s="306"/>
      <c r="F362" s="306"/>
      <c r="G362" s="306"/>
      <c r="H362" s="306"/>
      <c r="I362" s="306"/>
      <c r="J362" s="306"/>
    </row>
    <row r="363" spans="1:10" s="367" customFormat="1" x14ac:dyDescent="0.2">
      <c r="A363" s="306" t="s">
        <v>1365</v>
      </c>
      <c r="B363" s="306"/>
      <c r="C363" s="306"/>
      <c r="D363" s="306"/>
      <c r="E363" s="306"/>
      <c r="F363" s="306"/>
      <c r="G363" s="306"/>
      <c r="H363" s="306"/>
      <c r="I363" s="306"/>
      <c r="J363" s="306"/>
    </row>
    <row r="364" spans="1:10" s="367" customFormat="1" x14ac:dyDescent="0.2">
      <c r="A364" s="129"/>
      <c r="B364" s="129"/>
      <c r="C364" s="129"/>
      <c r="D364" s="129"/>
      <c r="E364" s="129"/>
      <c r="F364" s="129"/>
      <c r="G364" s="129"/>
      <c r="H364" s="129"/>
      <c r="I364" s="129"/>
      <c r="J364" s="129"/>
    </row>
    <row r="365" spans="1:10" x14ac:dyDescent="0.2">
      <c r="A365" s="183" t="s">
        <v>415</v>
      </c>
      <c r="B365" s="183"/>
      <c r="C365" s="183"/>
      <c r="D365" s="183"/>
      <c r="E365" s="183"/>
      <c r="F365" s="183"/>
      <c r="G365" s="183"/>
      <c r="H365" s="183"/>
      <c r="I365" s="183"/>
      <c r="J365" s="183"/>
    </row>
    <row r="366" spans="1:10" ht="22.5" customHeight="1" x14ac:dyDescent="0.2">
      <c r="A366" s="471" t="s">
        <v>1366</v>
      </c>
      <c r="B366" s="471"/>
      <c r="C366" s="471"/>
      <c r="D366" s="471"/>
      <c r="E366" s="471"/>
      <c r="F366" s="471"/>
      <c r="G366" s="471"/>
      <c r="H366" s="471"/>
      <c r="I366" s="471"/>
      <c r="J366" s="471"/>
    </row>
    <row r="367" spans="1:10" x14ac:dyDescent="0.2">
      <c r="A367" s="129"/>
      <c r="B367" s="129"/>
      <c r="C367" s="129"/>
      <c r="D367" s="129"/>
      <c r="E367" s="129"/>
      <c r="F367" s="129"/>
      <c r="G367" s="129"/>
      <c r="H367" s="129"/>
      <c r="I367" s="129"/>
      <c r="J367" s="129"/>
    </row>
    <row r="368" spans="1:10" ht="22.5" x14ac:dyDescent="0.2">
      <c r="A368" s="180" t="s">
        <v>315</v>
      </c>
      <c r="B368" s="180"/>
      <c r="C368" s="180"/>
      <c r="D368" s="180"/>
      <c r="E368" s="180"/>
      <c r="F368" s="184" t="str">
        <f>F153</f>
        <v xml:space="preserve"> Actual 2014-2015</v>
      </c>
      <c r="G368" s="184" t="str">
        <f>G153</f>
        <v xml:space="preserve"> Estimate 2015-2016</v>
      </c>
      <c r="H368" s="184" t="str">
        <f>H153</f>
        <v xml:space="preserve"> Target 2016-2017</v>
      </c>
      <c r="I368" s="184" t="str">
        <f>I153</f>
        <v xml:space="preserve"> Target 2017-2018</v>
      </c>
      <c r="J368" s="184" t="str">
        <f>J153</f>
        <v xml:space="preserve"> Target 2018-2019</v>
      </c>
    </row>
    <row r="369" spans="1:10" x14ac:dyDescent="0.2">
      <c r="A369" s="180" t="s">
        <v>316</v>
      </c>
      <c r="B369" s="180"/>
      <c r="C369" s="180"/>
      <c r="D369" s="180"/>
      <c r="E369" s="180"/>
      <c r="F369" s="180"/>
      <c r="G369" s="180"/>
      <c r="H369" s="180"/>
      <c r="I369" s="180"/>
      <c r="J369" s="180"/>
    </row>
    <row r="370" spans="1:10" ht="14.25" customHeight="1" x14ac:dyDescent="0.2">
      <c r="A370" s="306" t="s">
        <v>1367</v>
      </c>
      <c r="B370" s="306"/>
      <c r="C370" s="306"/>
      <c r="D370" s="306"/>
      <c r="E370" s="306"/>
      <c r="F370" s="272">
        <v>162</v>
      </c>
      <c r="G370" s="191">
        <v>170</v>
      </c>
      <c r="H370" s="191">
        <v>175</v>
      </c>
      <c r="I370" s="191">
        <v>180</v>
      </c>
      <c r="J370" s="191">
        <v>180</v>
      </c>
    </row>
    <row r="371" spans="1:10" x14ac:dyDescent="0.2">
      <c r="A371" s="306" t="s">
        <v>1368</v>
      </c>
      <c r="B371" s="306"/>
      <c r="C371" s="306"/>
      <c r="D371" s="306"/>
      <c r="E371" s="306"/>
      <c r="F371" s="272">
        <v>177</v>
      </c>
      <c r="G371" s="191">
        <v>180</v>
      </c>
      <c r="H371" s="191">
        <v>185</v>
      </c>
      <c r="I371" s="191">
        <v>190</v>
      </c>
      <c r="J371" s="191">
        <v>190</v>
      </c>
    </row>
    <row r="372" spans="1:10" x14ac:dyDescent="0.2">
      <c r="A372" s="306" t="s">
        <v>1369</v>
      </c>
      <c r="B372" s="306"/>
      <c r="C372" s="306"/>
      <c r="D372" s="306"/>
      <c r="E372" s="306"/>
      <c r="F372" s="272">
        <v>155</v>
      </c>
      <c r="G372" s="191">
        <v>160</v>
      </c>
      <c r="H372" s="191">
        <v>170</v>
      </c>
      <c r="I372" s="191">
        <v>175</v>
      </c>
      <c r="J372" s="191">
        <v>176</v>
      </c>
    </row>
    <row r="373" spans="1:10" x14ac:dyDescent="0.2">
      <c r="A373" s="306" t="s">
        <v>1370</v>
      </c>
      <c r="B373" s="306"/>
      <c r="C373" s="306"/>
      <c r="D373" s="306"/>
      <c r="E373" s="306"/>
      <c r="F373" s="272">
        <v>5</v>
      </c>
      <c r="G373" s="191">
        <v>7</v>
      </c>
      <c r="H373" s="191">
        <v>8</v>
      </c>
      <c r="I373" s="191">
        <v>10</v>
      </c>
      <c r="J373" s="191">
        <v>10</v>
      </c>
    </row>
    <row r="374" spans="1:10" ht="14.25" customHeight="1" x14ac:dyDescent="0.2">
      <c r="A374" s="452" t="s">
        <v>1371</v>
      </c>
      <c r="B374" s="453"/>
      <c r="C374" s="453"/>
      <c r="D374" s="453"/>
      <c r="E374" s="454"/>
      <c r="F374" s="272">
        <v>8</v>
      </c>
      <c r="G374" s="191">
        <v>15</v>
      </c>
      <c r="H374" s="191">
        <v>10</v>
      </c>
      <c r="I374" s="191">
        <v>10</v>
      </c>
      <c r="J374" s="191">
        <v>12</v>
      </c>
    </row>
    <row r="375" spans="1:10" ht="14.25" customHeight="1" x14ac:dyDescent="0.2">
      <c r="A375" s="188" t="s">
        <v>1372</v>
      </c>
      <c r="B375" s="188"/>
      <c r="C375" s="188"/>
      <c r="D375" s="188"/>
      <c r="E375" s="188"/>
      <c r="F375" s="272">
        <v>14</v>
      </c>
      <c r="G375" s="191">
        <v>16</v>
      </c>
      <c r="H375" s="191">
        <v>18</v>
      </c>
      <c r="I375" s="191">
        <v>20</v>
      </c>
      <c r="J375" s="191">
        <v>25</v>
      </c>
    </row>
    <row r="376" spans="1:10" x14ac:dyDescent="0.2">
      <c r="A376" s="188"/>
      <c r="B376" s="188"/>
      <c r="C376" s="188"/>
      <c r="D376" s="188"/>
      <c r="E376" s="188"/>
      <c r="F376" s="273"/>
      <c r="G376" s="190"/>
      <c r="H376" s="190"/>
      <c r="I376" s="190"/>
      <c r="J376" s="190"/>
    </row>
    <row r="377" spans="1:10" x14ac:dyDescent="0.2">
      <c r="A377" s="180" t="s">
        <v>324</v>
      </c>
      <c r="B377" s="180"/>
      <c r="C377" s="180"/>
      <c r="D377" s="180"/>
      <c r="E377" s="180"/>
      <c r="F377" s="180"/>
      <c r="G377" s="180"/>
      <c r="H377" s="180"/>
      <c r="I377" s="180"/>
      <c r="J377" s="180"/>
    </row>
    <row r="378" spans="1:10" x14ac:dyDescent="0.2">
      <c r="A378" s="306" t="s">
        <v>1373</v>
      </c>
      <c r="B378" s="306"/>
      <c r="C378" s="306"/>
      <c r="D378" s="306"/>
      <c r="E378" s="306"/>
      <c r="F378" s="353">
        <v>3</v>
      </c>
      <c r="G378" s="186">
        <v>5</v>
      </c>
      <c r="H378" s="186">
        <v>6</v>
      </c>
      <c r="I378" s="186">
        <v>5</v>
      </c>
      <c r="J378" s="186">
        <v>8</v>
      </c>
    </row>
    <row r="379" spans="1:10" x14ac:dyDescent="0.2">
      <c r="A379" s="306" t="s">
        <v>1374</v>
      </c>
      <c r="B379" s="306"/>
      <c r="C379" s="306"/>
      <c r="D379" s="306"/>
      <c r="E379" s="306"/>
      <c r="F379" s="353">
        <v>42</v>
      </c>
      <c r="G379" s="186">
        <v>50</v>
      </c>
      <c r="H379" s="186">
        <v>100</v>
      </c>
      <c r="I379" s="186">
        <v>120</v>
      </c>
      <c r="J379" s="186">
        <v>140</v>
      </c>
    </row>
    <row r="380" spans="1:10" ht="33" customHeight="1" x14ac:dyDescent="0.2">
      <c r="A380" s="451" t="s">
        <v>1375</v>
      </c>
      <c r="B380" s="451"/>
      <c r="C380" s="451"/>
      <c r="D380" s="451"/>
      <c r="E380" s="451"/>
      <c r="F380" s="353">
        <v>150</v>
      </c>
      <c r="G380" s="186">
        <v>160</v>
      </c>
      <c r="H380" s="186">
        <v>165</v>
      </c>
      <c r="I380" s="186">
        <v>175</v>
      </c>
      <c r="J380" s="186">
        <v>180</v>
      </c>
    </row>
    <row r="381" spans="1:10" ht="24.75" customHeight="1" x14ac:dyDescent="0.2">
      <c r="A381" s="451" t="s">
        <v>1376</v>
      </c>
      <c r="B381" s="451"/>
      <c r="C381" s="451"/>
      <c r="D381" s="451"/>
      <c r="E381" s="451"/>
      <c r="F381" s="353">
        <v>2</v>
      </c>
      <c r="G381" s="186">
        <v>3</v>
      </c>
      <c r="H381" s="186">
        <v>2</v>
      </c>
      <c r="I381" s="186">
        <v>1</v>
      </c>
      <c r="J381" s="186">
        <v>1</v>
      </c>
    </row>
    <row r="382" spans="1:10" ht="24.75" customHeight="1" x14ac:dyDescent="0.2">
      <c r="A382" s="451" t="s">
        <v>1377</v>
      </c>
      <c r="B382" s="451"/>
      <c r="C382" s="451"/>
      <c r="D382" s="451"/>
      <c r="E382" s="451"/>
      <c r="F382" s="353">
        <v>1</v>
      </c>
      <c r="G382" s="186">
        <v>2</v>
      </c>
      <c r="H382" s="186">
        <v>3</v>
      </c>
      <c r="I382" s="186">
        <v>4</v>
      </c>
      <c r="J382" s="186">
        <v>4</v>
      </c>
    </row>
    <row r="383" spans="1:10" x14ac:dyDescent="0.2">
      <c r="A383" s="451" t="s">
        <v>1378</v>
      </c>
      <c r="B383" s="451"/>
      <c r="C383" s="451"/>
      <c r="D383" s="451"/>
      <c r="E383" s="451"/>
      <c r="F383" s="353">
        <v>166</v>
      </c>
      <c r="G383" s="186">
        <v>170</v>
      </c>
      <c r="H383" s="186">
        <v>180</v>
      </c>
      <c r="I383" s="186">
        <v>190</v>
      </c>
      <c r="J383" s="186">
        <v>200</v>
      </c>
    </row>
    <row r="384" spans="1:10" x14ac:dyDescent="0.2">
      <c r="A384" s="129"/>
      <c r="B384" s="129"/>
      <c r="C384" s="129"/>
      <c r="D384" s="129"/>
      <c r="E384" s="129"/>
      <c r="F384" s="129"/>
      <c r="G384" s="129"/>
      <c r="H384" s="129"/>
      <c r="I384" s="129"/>
      <c r="J384" s="129"/>
    </row>
    <row r="385" spans="1:10" x14ac:dyDescent="0.2">
      <c r="A385" s="150" t="s">
        <v>1379</v>
      </c>
      <c r="B385" s="150"/>
      <c r="C385" s="150"/>
      <c r="D385" s="150"/>
      <c r="E385" s="150"/>
      <c r="F385" s="150"/>
      <c r="G385" s="150"/>
      <c r="H385" s="150"/>
      <c r="I385" s="150"/>
      <c r="J385" s="150"/>
    </row>
    <row r="386" spans="1:10" x14ac:dyDescent="0.2">
      <c r="A386" s="389" t="s">
        <v>291</v>
      </c>
      <c r="B386" s="389"/>
      <c r="C386" s="389"/>
      <c r="D386" s="389"/>
      <c r="E386" s="389"/>
      <c r="F386" s="389"/>
      <c r="G386" s="389"/>
      <c r="H386" s="389"/>
      <c r="I386" s="389"/>
      <c r="J386" s="389"/>
    </row>
    <row r="387" spans="1:10" x14ac:dyDescent="0.2">
      <c r="A387" s="129" t="s">
        <v>1380</v>
      </c>
      <c r="B387" s="129"/>
      <c r="C387" s="129"/>
      <c r="D387" s="129"/>
      <c r="E387" s="129"/>
      <c r="F387" s="129"/>
      <c r="G387" s="129"/>
      <c r="H387" s="129"/>
      <c r="I387" s="129"/>
      <c r="J387" s="129"/>
    </row>
    <row r="388" spans="1:10" ht="15" customHeight="1" x14ac:dyDescent="0.2">
      <c r="A388" s="128" t="s">
        <v>293</v>
      </c>
      <c r="B388" s="128"/>
      <c r="C388" s="128"/>
      <c r="D388" s="128"/>
      <c r="E388" s="128"/>
      <c r="F388" s="128"/>
      <c r="G388" s="128"/>
      <c r="H388" s="128"/>
      <c r="I388" s="128"/>
      <c r="J388" s="128"/>
    </row>
    <row r="389" spans="1:10" ht="33.75" x14ac:dyDescent="0.2">
      <c r="A389" s="152" t="s">
        <v>243</v>
      </c>
      <c r="B389" s="151" t="s">
        <v>242</v>
      </c>
      <c r="C389" s="151"/>
      <c r="D389" s="151"/>
      <c r="E389" s="132" t="s">
        <v>793</v>
      </c>
      <c r="F389" s="132" t="s">
        <v>794</v>
      </c>
      <c r="G389" s="132" t="s">
        <v>795</v>
      </c>
      <c r="H389" s="132" t="s">
        <v>796</v>
      </c>
      <c r="I389" s="132" t="s">
        <v>797</v>
      </c>
      <c r="J389" s="132" t="s">
        <v>798</v>
      </c>
    </row>
    <row r="390" spans="1:10" x14ac:dyDescent="0.2">
      <c r="A390" s="133"/>
      <c r="B390" s="134"/>
      <c r="C390" s="134"/>
      <c r="D390" s="134"/>
      <c r="E390" s="135"/>
      <c r="F390" s="262"/>
      <c r="G390" s="135"/>
      <c r="H390" s="136"/>
      <c r="I390" s="158"/>
      <c r="J390" s="158"/>
    </row>
    <row r="391" spans="1:10" x14ac:dyDescent="0.2">
      <c r="A391" s="137" t="s">
        <v>1274</v>
      </c>
      <c r="B391" s="137"/>
      <c r="C391" s="137"/>
      <c r="D391" s="137"/>
      <c r="E391" s="138">
        <f t="shared" ref="E391:J391" si="61">SUM(E390:E390)</f>
        <v>0</v>
      </c>
      <c r="F391" s="138">
        <f t="shared" si="61"/>
        <v>0</v>
      </c>
      <c r="G391" s="138">
        <f t="shared" si="61"/>
        <v>0</v>
      </c>
      <c r="H391" s="138">
        <f t="shared" si="61"/>
        <v>0</v>
      </c>
      <c r="I391" s="138">
        <f t="shared" si="61"/>
        <v>0</v>
      </c>
      <c r="J391" s="138">
        <f t="shared" si="61"/>
        <v>0</v>
      </c>
    </row>
    <row r="392" spans="1:10" x14ac:dyDescent="0.2">
      <c r="A392" s="129"/>
      <c r="B392" s="129"/>
      <c r="C392" s="129"/>
      <c r="D392" s="129"/>
      <c r="E392" s="129"/>
      <c r="F392" s="129"/>
      <c r="G392" s="129"/>
      <c r="H392" s="129"/>
      <c r="I392" s="129"/>
      <c r="J392" s="129"/>
    </row>
    <row r="393" spans="1:10" x14ac:dyDescent="0.2">
      <c r="A393" s="128" t="s">
        <v>284</v>
      </c>
      <c r="B393" s="128"/>
      <c r="C393" s="128"/>
      <c r="D393" s="128"/>
      <c r="E393" s="128"/>
      <c r="F393" s="128"/>
      <c r="G393" s="128"/>
      <c r="H393" s="128"/>
      <c r="I393" s="128"/>
      <c r="J393" s="128"/>
    </row>
    <row r="394" spans="1:10" ht="33.75" x14ac:dyDescent="0.2">
      <c r="A394" s="152" t="s">
        <v>243</v>
      </c>
      <c r="B394" s="151" t="s">
        <v>242</v>
      </c>
      <c r="C394" s="151"/>
      <c r="D394" s="151"/>
      <c r="E394" s="132" t="str">
        <f t="shared" ref="E394:J394" si="62">E37</f>
        <v>Actuals           2014-2015</v>
      </c>
      <c r="F394" s="132" t="str">
        <f t="shared" si="62"/>
        <v>Approved Estimates          2015-2016</v>
      </c>
      <c r="G394" s="132" t="str">
        <f t="shared" si="62"/>
        <v>Revised Estimates                 2015-2016</v>
      </c>
      <c r="H394" s="132" t="str">
        <f t="shared" si="62"/>
        <v>Budget Estimates      2016-2017</v>
      </c>
      <c r="I394" s="132" t="str">
        <f t="shared" si="62"/>
        <v>Forward Estimates     2017-2018</v>
      </c>
      <c r="J394" s="132" t="str">
        <f t="shared" si="62"/>
        <v>Forward Estimates     2018-2019</v>
      </c>
    </row>
    <row r="395" spans="1:10" x14ac:dyDescent="0.2">
      <c r="A395" s="151" t="s">
        <v>7</v>
      </c>
      <c r="B395" s="151"/>
      <c r="C395" s="151"/>
      <c r="D395" s="151"/>
      <c r="E395" s="151"/>
      <c r="F395" s="151"/>
      <c r="G395" s="151"/>
      <c r="H395" s="151"/>
      <c r="I395" s="151"/>
      <c r="J395" s="190"/>
    </row>
    <row r="396" spans="1:10" x14ac:dyDescent="0.2">
      <c r="A396" s="207">
        <v>210</v>
      </c>
      <c r="B396" s="129" t="s">
        <v>7</v>
      </c>
      <c r="C396" s="129"/>
      <c r="D396" s="129"/>
      <c r="E396" s="211">
        <v>538192</v>
      </c>
      <c r="F396" s="209">
        <v>577400</v>
      </c>
      <c r="G396" s="211">
        <v>577400</v>
      </c>
      <c r="H396" s="210">
        <v>579600</v>
      </c>
      <c r="I396" s="211">
        <v>644400</v>
      </c>
      <c r="J396" s="211">
        <v>650200</v>
      </c>
    </row>
    <row r="397" spans="1:10" x14ac:dyDescent="0.2">
      <c r="A397" s="207">
        <v>212</v>
      </c>
      <c r="B397" s="129" t="s">
        <v>9</v>
      </c>
      <c r="C397" s="129"/>
      <c r="D397" s="129"/>
      <c r="E397" s="211">
        <v>0</v>
      </c>
      <c r="F397" s="209">
        <v>0</v>
      </c>
      <c r="G397" s="211">
        <v>0</v>
      </c>
      <c r="H397" s="210">
        <v>0</v>
      </c>
      <c r="I397" s="211">
        <v>0</v>
      </c>
      <c r="J397" s="211">
        <v>0</v>
      </c>
    </row>
    <row r="398" spans="1:10" x14ac:dyDescent="0.2">
      <c r="A398" s="207">
        <v>216</v>
      </c>
      <c r="B398" s="129" t="s">
        <v>10</v>
      </c>
      <c r="C398" s="129"/>
      <c r="D398" s="129"/>
      <c r="E398" s="211">
        <v>47940</v>
      </c>
      <c r="F398" s="209">
        <v>55400</v>
      </c>
      <c r="G398" s="211">
        <v>55400</v>
      </c>
      <c r="H398" s="210">
        <v>50400</v>
      </c>
      <c r="I398" s="211">
        <v>50400</v>
      </c>
      <c r="J398" s="211">
        <v>23200</v>
      </c>
    </row>
    <row r="399" spans="1:10" x14ac:dyDescent="0.2">
      <c r="A399" s="207">
        <v>218</v>
      </c>
      <c r="B399" s="129" t="s">
        <v>294</v>
      </c>
      <c r="C399" s="129"/>
      <c r="D399" s="129"/>
      <c r="E399" s="211">
        <v>18285</v>
      </c>
      <c r="F399" s="209">
        <v>0</v>
      </c>
      <c r="G399" s="211">
        <v>0</v>
      </c>
      <c r="H399" s="210">
        <v>23200</v>
      </c>
      <c r="I399" s="211">
        <v>9200</v>
      </c>
      <c r="J399" s="211">
        <v>0</v>
      </c>
    </row>
    <row r="400" spans="1:10" x14ac:dyDescent="0.2">
      <c r="A400" s="156" t="s">
        <v>295</v>
      </c>
      <c r="B400" s="156"/>
      <c r="C400" s="156"/>
      <c r="D400" s="156"/>
      <c r="E400" s="157">
        <f t="shared" ref="E400:J400" si="63">SUM(E396:E399)</f>
        <v>604417</v>
      </c>
      <c r="F400" s="157">
        <f t="shared" si="63"/>
        <v>632800</v>
      </c>
      <c r="G400" s="157">
        <f t="shared" si="63"/>
        <v>632800</v>
      </c>
      <c r="H400" s="157">
        <f t="shared" si="63"/>
        <v>653200</v>
      </c>
      <c r="I400" s="157">
        <f t="shared" si="63"/>
        <v>704000</v>
      </c>
      <c r="J400" s="157">
        <f t="shared" si="63"/>
        <v>673400</v>
      </c>
    </row>
    <row r="401" spans="1:10" x14ac:dyDescent="0.2">
      <c r="A401" s="156" t="s">
        <v>296</v>
      </c>
      <c r="B401" s="156"/>
      <c r="C401" s="156"/>
      <c r="D401" s="156"/>
      <c r="E401" s="156"/>
      <c r="F401" s="156"/>
      <c r="G401" s="156"/>
      <c r="H401" s="156"/>
      <c r="I401" s="156"/>
      <c r="J401" s="190"/>
    </row>
    <row r="402" spans="1:10" x14ac:dyDescent="0.2">
      <c r="A402" s="207">
        <v>228</v>
      </c>
      <c r="B402" s="472" t="s">
        <v>208</v>
      </c>
      <c r="C402" s="462"/>
      <c r="D402" s="195"/>
      <c r="E402" s="211">
        <v>4999.76</v>
      </c>
      <c r="F402" s="211">
        <v>5000</v>
      </c>
      <c r="G402" s="211">
        <v>5000</v>
      </c>
      <c r="H402" s="210">
        <f>5000+10000</f>
        <v>15000</v>
      </c>
      <c r="I402" s="211">
        <f>5000+5000</f>
        <v>10000</v>
      </c>
      <c r="J402" s="211">
        <f>5000+5000</f>
        <v>10000</v>
      </c>
    </row>
    <row r="403" spans="1:10" x14ac:dyDescent="0.2">
      <c r="A403" s="207">
        <v>230</v>
      </c>
      <c r="B403" s="472" t="s">
        <v>210</v>
      </c>
      <c r="C403" s="462"/>
      <c r="D403" s="195"/>
      <c r="E403" s="211">
        <v>5340.95</v>
      </c>
      <c r="F403" s="211">
        <v>5500</v>
      </c>
      <c r="G403" s="211">
        <v>5500</v>
      </c>
      <c r="H403" s="210">
        <v>5500</v>
      </c>
      <c r="I403" s="211">
        <v>5500</v>
      </c>
      <c r="J403" s="211">
        <v>5500</v>
      </c>
    </row>
    <row r="404" spans="1:10" ht="15" customHeight="1" x14ac:dyDescent="0.2">
      <c r="A404" s="207">
        <v>232</v>
      </c>
      <c r="B404" s="472" t="s">
        <v>211</v>
      </c>
      <c r="C404" s="462"/>
      <c r="D404" s="195"/>
      <c r="E404" s="211">
        <v>113306.7</v>
      </c>
      <c r="F404" s="211">
        <v>65600</v>
      </c>
      <c r="G404" s="211">
        <v>65600</v>
      </c>
      <c r="H404" s="210">
        <v>65600</v>
      </c>
      <c r="I404" s="211">
        <v>65600</v>
      </c>
      <c r="J404" s="211">
        <v>65600</v>
      </c>
    </row>
    <row r="405" spans="1:10" ht="15" customHeight="1" x14ac:dyDescent="0.2">
      <c r="A405" s="416">
        <v>236</v>
      </c>
      <c r="B405" s="472" t="s">
        <v>1381</v>
      </c>
      <c r="C405" s="462"/>
      <c r="D405" s="195"/>
      <c r="E405" s="417">
        <v>0</v>
      </c>
      <c r="F405" s="211">
        <v>0</v>
      </c>
      <c r="G405" s="211">
        <v>0</v>
      </c>
      <c r="H405" s="210">
        <v>45000</v>
      </c>
      <c r="I405" s="211">
        <v>36000</v>
      </c>
      <c r="J405" s="211">
        <v>36000</v>
      </c>
    </row>
    <row r="406" spans="1:10" ht="14.25" customHeight="1" x14ac:dyDescent="0.2">
      <c r="A406" s="207">
        <v>273</v>
      </c>
      <c r="B406" s="472" t="s">
        <v>226</v>
      </c>
      <c r="C406" s="462"/>
      <c r="D406" s="195"/>
      <c r="E406" s="211">
        <v>159936.43</v>
      </c>
      <c r="F406" s="211">
        <v>160000</v>
      </c>
      <c r="G406" s="211">
        <v>160000</v>
      </c>
      <c r="H406" s="210">
        <v>160000</v>
      </c>
      <c r="I406" s="211">
        <v>160000</v>
      </c>
      <c r="J406" s="211">
        <v>160000</v>
      </c>
    </row>
    <row r="407" spans="1:10" ht="14.25" customHeight="1" x14ac:dyDescent="0.2">
      <c r="A407" s="207">
        <v>275</v>
      </c>
      <c r="B407" s="472" t="s">
        <v>228</v>
      </c>
      <c r="C407" s="462"/>
      <c r="D407" s="195"/>
      <c r="E407" s="211">
        <v>810.6</v>
      </c>
      <c r="F407" s="211">
        <v>1000</v>
      </c>
      <c r="G407" s="211">
        <v>1000</v>
      </c>
      <c r="H407" s="210">
        <v>2000</v>
      </c>
      <c r="I407" s="211">
        <v>2000</v>
      </c>
      <c r="J407" s="211">
        <v>2000</v>
      </c>
    </row>
    <row r="408" spans="1:10" x14ac:dyDescent="0.2">
      <c r="A408" s="156" t="s">
        <v>298</v>
      </c>
      <c r="B408" s="156"/>
      <c r="C408" s="156"/>
      <c r="D408" s="156"/>
      <c r="E408" s="157">
        <f t="shared" ref="E408:J408" si="64">SUM(E402:E407)</f>
        <v>284394.43999999994</v>
      </c>
      <c r="F408" s="264">
        <f t="shared" si="64"/>
        <v>237100</v>
      </c>
      <c r="G408" s="157">
        <f t="shared" si="64"/>
        <v>237100</v>
      </c>
      <c r="H408" s="157">
        <f t="shared" si="64"/>
        <v>293100</v>
      </c>
      <c r="I408" s="157">
        <f t="shared" si="64"/>
        <v>279100</v>
      </c>
      <c r="J408" s="157">
        <f t="shared" si="64"/>
        <v>279100</v>
      </c>
    </row>
    <row r="409" spans="1:10" x14ac:dyDescent="0.2">
      <c r="A409" s="159" t="s">
        <v>299</v>
      </c>
      <c r="B409" s="159"/>
      <c r="C409" s="159"/>
      <c r="D409" s="159"/>
      <c r="E409" s="160">
        <f t="shared" ref="E409:J409" si="65">SUM(E400,E408)</f>
        <v>888811.44</v>
      </c>
      <c r="F409" s="160">
        <f t="shared" si="65"/>
        <v>869900</v>
      </c>
      <c r="G409" s="160">
        <f t="shared" si="65"/>
        <v>869900</v>
      </c>
      <c r="H409" s="160">
        <f t="shared" si="65"/>
        <v>946300</v>
      </c>
      <c r="I409" s="160">
        <f t="shared" si="65"/>
        <v>983100</v>
      </c>
      <c r="J409" s="160">
        <f t="shared" si="65"/>
        <v>952500</v>
      </c>
    </row>
    <row r="410" spans="1:10" x14ac:dyDescent="0.2">
      <c r="A410" s="162" t="s">
        <v>15</v>
      </c>
      <c r="B410" s="162"/>
      <c r="C410" s="162"/>
      <c r="D410" s="162"/>
      <c r="E410" s="162"/>
      <c r="F410" s="162"/>
      <c r="G410" s="162"/>
      <c r="H410" s="162"/>
      <c r="I410" s="162"/>
      <c r="J410" s="162"/>
    </row>
    <row r="411" spans="1:10" ht="18" customHeight="1" x14ac:dyDescent="0.2">
      <c r="A411" s="131" t="s">
        <v>242</v>
      </c>
      <c r="B411" s="131"/>
      <c r="C411" s="131"/>
      <c r="D411" s="131"/>
      <c r="E411" s="128" t="str">
        <f t="shared" ref="E411:J411" si="66">E37</f>
        <v>Actuals           2014-2015</v>
      </c>
      <c r="F411" s="128" t="str">
        <f t="shared" si="66"/>
        <v>Approved Estimates          2015-2016</v>
      </c>
      <c r="G411" s="128" t="str">
        <f t="shared" si="66"/>
        <v>Revised Estimates                 2015-2016</v>
      </c>
      <c r="H411" s="128" t="str">
        <f t="shared" si="66"/>
        <v>Budget Estimates      2016-2017</v>
      </c>
      <c r="I411" s="128" t="str">
        <f t="shared" si="66"/>
        <v>Forward Estimates     2017-2018</v>
      </c>
      <c r="J411" s="128" t="str">
        <f t="shared" si="66"/>
        <v>Forward Estimates     2018-2019</v>
      </c>
    </row>
    <row r="412" spans="1:10" x14ac:dyDescent="0.2">
      <c r="A412" s="130" t="s">
        <v>243</v>
      </c>
      <c r="B412" s="130" t="s">
        <v>244</v>
      </c>
      <c r="C412" s="131" t="s">
        <v>245</v>
      </c>
      <c r="D412" s="131"/>
      <c r="E412" s="101"/>
      <c r="F412" s="101"/>
      <c r="G412" s="101"/>
      <c r="H412" s="101"/>
      <c r="I412" s="101"/>
      <c r="J412" s="101"/>
    </row>
    <row r="413" spans="1:10" ht="18" customHeight="1" x14ac:dyDescent="0.2">
      <c r="A413" s="163"/>
      <c r="B413" s="163"/>
      <c r="C413" s="156"/>
      <c r="D413" s="156"/>
      <c r="E413" s="158"/>
      <c r="F413" s="209"/>
      <c r="G413" s="158"/>
      <c r="H413" s="136"/>
      <c r="I413" s="158"/>
      <c r="J413" s="135"/>
    </row>
    <row r="414" spans="1:10" ht="17.45" customHeight="1" x14ac:dyDescent="0.2">
      <c r="A414" s="163"/>
      <c r="B414" s="163"/>
      <c r="C414" s="156"/>
      <c r="D414" s="156"/>
      <c r="E414" s="158"/>
      <c r="F414" s="209"/>
      <c r="G414" s="158"/>
      <c r="H414" s="136"/>
      <c r="I414" s="158"/>
      <c r="J414" s="135"/>
    </row>
    <row r="415" spans="1:10" ht="15" customHeight="1" x14ac:dyDescent="0.2">
      <c r="A415" s="137" t="s">
        <v>15</v>
      </c>
      <c r="B415" s="137"/>
      <c r="C415" s="137"/>
      <c r="D415" s="137"/>
      <c r="E415" s="138">
        <v>0</v>
      </c>
      <c r="F415" s="138">
        <v>0</v>
      </c>
      <c r="G415" s="138">
        <v>0</v>
      </c>
      <c r="H415" s="138">
        <v>0</v>
      </c>
      <c r="I415" s="138">
        <v>0</v>
      </c>
      <c r="J415" s="138">
        <v>0</v>
      </c>
    </row>
    <row r="416" spans="1:10" x14ac:dyDescent="0.2">
      <c r="A416" s="290"/>
      <c r="B416" s="290"/>
      <c r="C416" s="290"/>
      <c r="D416" s="290"/>
      <c r="E416" s="290"/>
      <c r="F416" s="290"/>
      <c r="G416" s="290"/>
      <c r="H416" s="290"/>
      <c r="I416" s="290"/>
      <c r="J416" s="290"/>
    </row>
    <row r="417" spans="1:10" x14ac:dyDescent="0.2">
      <c r="A417" s="161" t="s">
        <v>288</v>
      </c>
      <c r="B417" s="161"/>
      <c r="C417" s="161"/>
      <c r="D417" s="161"/>
      <c r="E417" s="161"/>
      <c r="F417" s="202"/>
      <c r="G417" s="202"/>
      <c r="H417" s="202"/>
      <c r="I417" s="202"/>
      <c r="J417" s="202"/>
    </row>
    <row r="418" spans="1:10" x14ac:dyDescent="0.2">
      <c r="A418" s="131" t="s">
        <v>300</v>
      </c>
      <c r="B418" s="131"/>
      <c r="C418" s="131"/>
      <c r="D418" s="132" t="s">
        <v>301</v>
      </c>
      <c r="E418" s="132" t="s">
        <v>302</v>
      </c>
      <c r="F418" s="131" t="s">
        <v>300</v>
      </c>
      <c r="G418" s="131"/>
      <c r="H418" s="131"/>
      <c r="I418" s="132" t="s">
        <v>301</v>
      </c>
      <c r="J418" s="132" t="s">
        <v>302</v>
      </c>
    </row>
    <row r="419" spans="1:10" ht="15" customHeight="1" x14ac:dyDescent="0.2">
      <c r="A419" s="134" t="str">
        <f>Establishment!D381</f>
        <v>Director</v>
      </c>
      <c r="B419" s="134"/>
      <c r="C419" s="134"/>
      <c r="D419" s="133" t="str">
        <f>Establishment!E381</f>
        <v>R7</v>
      </c>
      <c r="E419" s="133">
        <f>Establishment!C381</f>
        <v>1</v>
      </c>
      <c r="F419" s="134" t="str">
        <f>Establishment!D386</f>
        <v>Environmental Worker</v>
      </c>
      <c r="G419" s="134"/>
      <c r="H419" s="134"/>
      <c r="I419" s="133" t="str">
        <f>Establishment!E386</f>
        <v>R39-32</v>
      </c>
      <c r="J419" s="133">
        <f>Establishment!C386</f>
        <v>1</v>
      </c>
    </row>
    <row r="420" spans="1:10" ht="14.25" customHeight="1" x14ac:dyDescent="0.2">
      <c r="A420" s="134" t="str">
        <f>Establishment!D382</f>
        <v>Principal Environmental Officer</v>
      </c>
      <c r="B420" s="134"/>
      <c r="C420" s="134"/>
      <c r="D420" s="133" t="str">
        <f>Establishment!E382</f>
        <v>R17-13/R14-10</v>
      </c>
      <c r="E420" s="133">
        <f>Establishment!C382</f>
        <v>1</v>
      </c>
      <c r="F420" s="134" t="str">
        <f>Establishment!D387</f>
        <v>Clerical Officer (Snr)</v>
      </c>
      <c r="G420" s="134"/>
      <c r="H420" s="134"/>
      <c r="I420" s="133" t="str">
        <f>Establishment!E387</f>
        <v>R33-29</v>
      </c>
      <c r="J420" s="133">
        <f>Establishment!C387</f>
        <v>1</v>
      </c>
    </row>
    <row r="421" spans="1:10" ht="14.25" customHeight="1" x14ac:dyDescent="0.2">
      <c r="A421" s="134" t="str">
        <f>Establishment!D383</f>
        <v>Environmental Officer</v>
      </c>
      <c r="B421" s="134"/>
      <c r="C421" s="134"/>
      <c r="D421" s="133" t="str">
        <f>Establishment!E383</f>
        <v>R22-16</v>
      </c>
      <c r="E421" s="133">
        <f>Establishment!C383</f>
        <v>2</v>
      </c>
      <c r="F421" s="134" t="str">
        <f>Establishment!D388</f>
        <v>Plant Propagator</v>
      </c>
      <c r="G421" s="134"/>
      <c r="H421" s="134"/>
      <c r="I421" s="133" t="str">
        <f>Establishment!E388</f>
        <v>R42-36</v>
      </c>
      <c r="J421" s="133">
        <f>Establishment!C388</f>
        <v>1</v>
      </c>
    </row>
    <row r="422" spans="1:10" ht="14.25" customHeight="1" x14ac:dyDescent="0.2">
      <c r="A422" s="134" t="str">
        <f>Establishment!D384</f>
        <v>Forest Technician</v>
      </c>
      <c r="B422" s="134"/>
      <c r="C422" s="134"/>
      <c r="D422" s="133" t="str">
        <f>Establishment!E384</f>
        <v>R28-22</v>
      </c>
      <c r="E422" s="133">
        <f>Establishment!C384</f>
        <v>3</v>
      </c>
      <c r="F422" s="134" t="str">
        <f>Establishment!D389</f>
        <v>Nursery Worker</v>
      </c>
      <c r="G422" s="134"/>
      <c r="H422" s="134"/>
      <c r="I422" s="133" t="str">
        <f>Establishment!E389</f>
        <v>R48-38</v>
      </c>
      <c r="J422" s="133">
        <f>Establishment!C389</f>
        <v>2</v>
      </c>
    </row>
    <row r="423" spans="1:10" ht="14.25" customHeight="1" x14ac:dyDescent="0.2">
      <c r="A423" s="134" t="str">
        <f>Establishment!D385</f>
        <v>Forest Rangers</v>
      </c>
      <c r="B423" s="134"/>
      <c r="C423" s="134"/>
      <c r="D423" s="133" t="str">
        <f>Establishment!E385</f>
        <v>R33-29</v>
      </c>
      <c r="E423" s="133">
        <f>Establishment!C385</f>
        <v>2</v>
      </c>
      <c r="F423" s="134" t="str">
        <f>Establishment!D390</f>
        <v>Gardener</v>
      </c>
      <c r="G423" s="134"/>
      <c r="H423" s="134"/>
      <c r="I423" s="133" t="str">
        <f>Establishment!E390</f>
        <v>R48-38</v>
      </c>
      <c r="J423" s="133">
        <f>Establishment!C390</f>
        <v>1</v>
      </c>
    </row>
    <row r="424" spans="1:10" ht="14.25" customHeight="1" x14ac:dyDescent="0.2">
      <c r="A424" s="203" t="s">
        <v>303</v>
      </c>
      <c r="B424" s="203"/>
      <c r="C424" s="203"/>
      <c r="D424" s="203"/>
      <c r="E424" s="203">
        <f>SUM(E419:E423)</f>
        <v>9</v>
      </c>
      <c r="F424" s="203"/>
      <c r="G424" s="203"/>
      <c r="H424" s="203"/>
      <c r="I424" s="203"/>
      <c r="J424" s="204">
        <f>SUM(E419:E423,J419:J423)</f>
        <v>15</v>
      </c>
    </row>
    <row r="425" spans="1:10" ht="14.25" customHeight="1" x14ac:dyDescent="0.2">
      <c r="A425" s="129"/>
      <c r="B425" s="129"/>
      <c r="C425" s="129"/>
      <c r="D425" s="129"/>
      <c r="E425" s="129"/>
      <c r="F425" s="179"/>
      <c r="G425" s="179"/>
      <c r="H425" s="179"/>
      <c r="I425" s="179"/>
      <c r="J425" s="179"/>
    </row>
    <row r="426" spans="1:10" ht="14.25" customHeight="1" x14ac:dyDescent="0.2">
      <c r="A426" s="180" t="s">
        <v>304</v>
      </c>
      <c r="B426" s="180"/>
      <c r="C426" s="180"/>
      <c r="D426" s="180"/>
      <c r="E426" s="180"/>
      <c r="F426" s="180"/>
      <c r="G426" s="180"/>
      <c r="H426" s="180"/>
      <c r="I426" s="180"/>
      <c r="J426" s="180"/>
    </row>
    <row r="427" spans="1:10" ht="14.25" customHeight="1" x14ac:dyDescent="0.2">
      <c r="A427" s="181" t="s">
        <v>305</v>
      </c>
      <c r="B427" s="181"/>
      <c r="C427" s="181"/>
      <c r="D427" s="181"/>
      <c r="E427" s="181"/>
      <c r="F427" s="181"/>
      <c r="G427" s="181"/>
      <c r="H427" s="181"/>
      <c r="I427" s="181"/>
      <c r="J427" s="181"/>
    </row>
    <row r="428" spans="1:10" x14ac:dyDescent="0.2">
      <c r="A428" s="306" t="s">
        <v>1382</v>
      </c>
      <c r="B428" s="306"/>
      <c r="C428" s="306"/>
      <c r="D428" s="306"/>
      <c r="E428" s="306"/>
      <c r="F428" s="306"/>
      <c r="G428" s="306"/>
      <c r="H428" s="306"/>
      <c r="I428" s="306"/>
      <c r="J428" s="306"/>
    </row>
    <row r="429" spans="1:10" x14ac:dyDescent="0.2">
      <c r="A429" s="306" t="s">
        <v>1383</v>
      </c>
      <c r="B429" s="306"/>
      <c r="C429" s="306"/>
      <c r="D429" s="306"/>
      <c r="E429" s="306"/>
      <c r="F429" s="306"/>
      <c r="G429" s="306"/>
      <c r="H429" s="306"/>
      <c r="I429" s="306"/>
      <c r="J429" s="306"/>
    </row>
    <row r="430" spans="1:10" x14ac:dyDescent="0.2">
      <c r="A430" s="306" t="s">
        <v>1384</v>
      </c>
      <c r="B430" s="306"/>
      <c r="C430" s="306"/>
      <c r="D430" s="306"/>
      <c r="E430" s="306"/>
      <c r="F430" s="306"/>
      <c r="G430" s="306"/>
      <c r="H430" s="306"/>
      <c r="I430" s="306"/>
      <c r="J430" s="306"/>
    </row>
    <row r="431" spans="1:10" x14ac:dyDescent="0.2">
      <c r="A431" s="306" t="s">
        <v>1385</v>
      </c>
      <c r="B431" s="306"/>
      <c r="C431" s="306"/>
      <c r="D431" s="306"/>
      <c r="E431" s="306"/>
      <c r="F431" s="306"/>
      <c r="G431" s="306"/>
      <c r="H431" s="306"/>
      <c r="I431" s="306"/>
      <c r="J431" s="306"/>
    </row>
    <row r="432" spans="1:10" ht="14.25" customHeight="1" x14ac:dyDescent="0.2">
      <c r="A432" s="129" t="s">
        <v>1386</v>
      </c>
      <c r="B432" s="129"/>
      <c r="C432" s="129"/>
      <c r="D432" s="129"/>
      <c r="E432" s="129"/>
      <c r="F432" s="129"/>
      <c r="G432" s="129"/>
      <c r="H432" s="129"/>
      <c r="I432" s="129"/>
      <c r="J432" s="129"/>
    </row>
    <row r="433" spans="1:10" ht="14.25" customHeight="1" x14ac:dyDescent="0.2">
      <c r="A433" s="323" t="s">
        <v>1387</v>
      </c>
      <c r="B433" s="324"/>
      <c r="C433" s="324"/>
      <c r="D433" s="324"/>
      <c r="E433" s="324"/>
      <c r="F433" s="324"/>
      <c r="G433" s="324"/>
      <c r="H433" s="324"/>
      <c r="I433" s="324"/>
      <c r="J433" s="325"/>
    </row>
    <row r="434" spans="1:10" ht="14.25" customHeight="1" x14ac:dyDescent="0.2">
      <c r="A434" s="323" t="s">
        <v>1388</v>
      </c>
      <c r="B434" s="324"/>
      <c r="C434" s="324"/>
      <c r="D434" s="324"/>
      <c r="E434" s="324"/>
      <c r="F434" s="324"/>
      <c r="G434" s="324"/>
      <c r="H434" s="324"/>
      <c r="I434" s="324"/>
      <c r="J434" s="325"/>
    </row>
    <row r="435" spans="1:10" ht="14.25" customHeight="1" x14ac:dyDescent="0.2">
      <c r="A435" s="129"/>
      <c r="B435" s="129"/>
      <c r="C435" s="129"/>
      <c r="D435" s="129"/>
      <c r="E435" s="129"/>
      <c r="F435" s="129"/>
      <c r="G435" s="129"/>
      <c r="H435" s="129"/>
      <c r="I435" s="129"/>
      <c r="J435" s="129"/>
    </row>
    <row r="436" spans="1:10" x14ac:dyDescent="0.2">
      <c r="A436" s="183" t="s">
        <v>415</v>
      </c>
      <c r="B436" s="183"/>
      <c r="C436" s="183"/>
      <c r="D436" s="183"/>
      <c r="E436" s="183"/>
      <c r="F436" s="183"/>
      <c r="G436" s="183"/>
      <c r="H436" s="183"/>
      <c r="I436" s="183"/>
      <c r="J436" s="183"/>
    </row>
    <row r="437" spans="1:10" x14ac:dyDescent="0.2">
      <c r="A437" s="129"/>
      <c r="B437" s="129"/>
      <c r="C437" s="129"/>
      <c r="D437" s="129"/>
      <c r="E437" s="129"/>
      <c r="F437" s="129"/>
      <c r="G437" s="129"/>
      <c r="H437" s="129"/>
      <c r="I437" s="129"/>
      <c r="J437" s="129"/>
    </row>
    <row r="438" spans="1:10" x14ac:dyDescent="0.2">
      <c r="A438" s="129"/>
      <c r="B438" s="129"/>
      <c r="C438" s="129"/>
      <c r="D438" s="129"/>
      <c r="E438" s="129"/>
      <c r="F438" s="129"/>
      <c r="G438" s="129"/>
      <c r="H438" s="129"/>
      <c r="I438" s="129"/>
      <c r="J438" s="129"/>
    </row>
    <row r="439" spans="1:10" ht="22.5" x14ac:dyDescent="0.2">
      <c r="A439" s="180" t="s">
        <v>315</v>
      </c>
      <c r="B439" s="180"/>
      <c r="C439" s="180"/>
      <c r="D439" s="180"/>
      <c r="E439" s="180"/>
      <c r="F439" s="184" t="str">
        <f>F153</f>
        <v xml:space="preserve"> Actual 2014-2015</v>
      </c>
      <c r="G439" s="184" t="str">
        <f>G153</f>
        <v xml:space="preserve"> Estimate 2015-2016</v>
      </c>
      <c r="H439" s="184" t="str">
        <f>H153</f>
        <v xml:space="preserve"> Target 2016-2017</v>
      </c>
      <c r="I439" s="184" t="str">
        <f>I153</f>
        <v xml:space="preserve"> Target 2017-2018</v>
      </c>
      <c r="J439" s="184" t="str">
        <f>J153</f>
        <v xml:space="preserve"> Target 2018-2019</v>
      </c>
    </row>
    <row r="440" spans="1:10" x14ac:dyDescent="0.2">
      <c r="A440" s="180" t="s">
        <v>316</v>
      </c>
      <c r="B440" s="180"/>
      <c r="C440" s="180"/>
      <c r="D440" s="180"/>
      <c r="E440" s="180"/>
      <c r="F440" s="180"/>
      <c r="G440" s="180"/>
      <c r="H440" s="180"/>
      <c r="I440" s="180"/>
      <c r="J440" s="180"/>
    </row>
    <row r="441" spans="1:10" x14ac:dyDescent="0.2">
      <c r="A441" s="306" t="s">
        <v>1389</v>
      </c>
      <c r="B441" s="306"/>
      <c r="C441" s="306"/>
      <c r="D441" s="306"/>
      <c r="E441" s="306"/>
      <c r="F441" s="272" t="s">
        <v>1390</v>
      </c>
      <c r="G441" s="191" t="s">
        <v>1390</v>
      </c>
      <c r="H441" s="191" t="s">
        <v>1390</v>
      </c>
      <c r="I441" s="191" t="s">
        <v>1390</v>
      </c>
      <c r="J441" s="191" t="s">
        <v>1390</v>
      </c>
    </row>
    <row r="442" spans="1:10" x14ac:dyDescent="0.2">
      <c r="A442" s="306" t="s">
        <v>1391</v>
      </c>
      <c r="B442" s="306"/>
      <c r="C442" s="306"/>
      <c r="D442" s="306"/>
      <c r="E442" s="306"/>
      <c r="F442" s="272">
        <v>7</v>
      </c>
      <c r="G442" s="191">
        <v>0</v>
      </c>
      <c r="H442" s="191">
        <v>10</v>
      </c>
      <c r="I442" s="191">
        <v>0</v>
      </c>
      <c r="J442" s="191">
        <v>0</v>
      </c>
    </row>
    <row r="443" spans="1:10" ht="17.25" customHeight="1" x14ac:dyDescent="0.2">
      <c r="A443" s="306" t="s">
        <v>1392</v>
      </c>
      <c r="B443" s="306"/>
      <c r="C443" s="306"/>
      <c r="D443" s="306"/>
      <c r="E443" s="306"/>
      <c r="F443" s="272">
        <v>48</v>
      </c>
      <c r="G443" s="191">
        <v>48</v>
      </c>
      <c r="H443" s="191">
        <v>52</v>
      </c>
      <c r="I443" s="191">
        <v>52</v>
      </c>
      <c r="J443" s="191">
        <v>52</v>
      </c>
    </row>
    <row r="444" spans="1:10" ht="22.5" customHeight="1" x14ac:dyDescent="0.2">
      <c r="A444" s="451" t="s">
        <v>1393</v>
      </c>
      <c r="B444" s="451"/>
      <c r="C444" s="451"/>
      <c r="D444" s="451"/>
      <c r="E444" s="451"/>
      <c r="F444" s="272">
        <v>15</v>
      </c>
      <c r="G444" s="191">
        <v>35</v>
      </c>
      <c r="H444" s="191">
        <v>35</v>
      </c>
      <c r="I444" s="191">
        <v>35</v>
      </c>
      <c r="J444" s="191">
        <v>35</v>
      </c>
    </row>
    <row r="445" spans="1:10" ht="17.25" customHeight="1" x14ac:dyDescent="0.2">
      <c r="A445" s="188"/>
      <c r="B445" s="188"/>
      <c r="C445" s="188"/>
      <c r="D445" s="188"/>
      <c r="E445" s="188"/>
      <c r="F445" s="272"/>
      <c r="G445" s="191"/>
      <c r="H445" s="191"/>
      <c r="I445" s="191"/>
      <c r="J445" s="191"/>
    </row>
    <row r="446" spans="1:10" x14ac:dyDescent="0.2">
      <c r="A446" s="180" t="s">
        <v>324</v>
      </c>
      <c r="B446" s="180"/>
      <c r="C446" s="180"/>
      <c r="D446" s="180"/>
      <c r="E446" s="180"/>
      <c r="F446" s="180"/>
      <c r="G446" s="180"/>
      <c r="H446" s="180"/>
      <c r="I446" s="180"/>
      <c r="J446" s="180"/>
    </row>
    <row r="447" spans="1:10" ht="15" customHeight="1" x14ac:dyDescent="0.2">
      <c r="A447" s="306" t="s">
        <v>1394</v>
      </c>
      <c r="B447" s="306"/>
      <c r="C447" s="306"/>
      <c r="D447" s="306"/>
      <c r="E447" s="306"/>
      <c r="F447" s="371">
        <v>1</v>
      </c>
      <c r="G447" s="371">
        <v>1</v>
      </c>
      <c r="H447" s="426">
        <v>0.9</v>
      </c>
      <c r="I447" s="426">
        <v>0.9</v>
      </c>
      <c r="J447" s="426">
        <v>0.9</v>
      </c>
    </row>
    <row r="448" spans="1:10" x14ac:dyDescent="0.2">
      <c r="A448" s="306" t="s">
        <v>1395</v>
      </c>
      <c r="B448" s="306"/>
      <c r="C448" s="306"/>
      <c r="D448" s="306"/>
      <c r="E448" s="306"/>
      <c r="F448" s="272">
        <v>0</v>
      </c>
      <c r="G448" s="191">
        <v>0</v>
      </c>
      <c r="H448" s="191">
        <v>10</v>
      </c>
      <c r="I448" s="191">
        <v>0</v>
      </c>
      <c r="J448" s="191">
        <v>0</v>
      </c>
    </row>
    <row r="449" spans="1:10" ht="21.75" customHeight="1" x14ac:dyDescent="0.2">
      <c r="A449" s="451" t="s">
        <v>1396</v>
      </c>
      <c r="B449" s="451"/>
      <c r="C449" s="451"/>
      <c r="D449" s="451"/>
      <c r="E449" s="451"/>
      <c r="F449" s="272">
        <v>0</v>
      </c>
      <c r="G449" s="191">
        <v>20</v>
      </c>
      <c r="H449" s="191">
        <v>27</v>
      </c>
      <c r="I449" s="191">
        <v>34</v>
      </c>
      <c r="J449" s="191">
        <v>41</v>
      </c>
    </row>
    <row r="450" spans="1:10" ht="21" customHeight="1" x14ac:dyDescent="0.2">
      <c r="A450" s="451" t="s">
        <v>1397</v>
      </c>
      <c r="B450" s="451"/>
      <c r="C450" s="451"/>
      <c r="D450" s="451"/>
      <c r="E450" s="451"/>
      <c r="F450" s="272">
        <v>0</v>
      </c>
      <c r="G450" s="191">
        <v>0</v>
      </c>
      <c r="H450" s="426">
        <v>0.85</v>
      </c>
      <c r="I450" s="426">
        <v>0.85</v>
      </c>
      <c r="J450" s="426">
        <v>0.85</v>
      </c>
    </row>
    <row r="451" spans="1:10" x14ac:dyDescent="0.2">
      <c r="A451" s="129"/>
      <c r="B451" s="129"/>
      <c r="C451" s="129"/>
      <c r="D451" s="129"/>
      <c r="E451" s="129"/>
      <c r="F451" s="129"/>
      <c r="G451" s="129"/>
      <c r="H451" s="129"/>
      <c r="I451" s="129"/>
      <c r="J451" s="129"/>
    </row>
    <row r="452" spans="1:10" x14ac:dyDescent="0.2">
      <c r="A452" s="150" t="s">
        <v>1398</v>
      </c>
      <c r="B452" s="150"/>
      <c r="C452" s="150"/>
      <c r="D452" s="150"/>
      <c r="E452" s="150"/>
      <c r="F452" s="150"/>
      <c r="G452" s="150"/>
      <c r="H452" s="150"/>
      <c r="I452" s="150"/>
      <c r="J452" s="150"/>
    </row>
    <row r="453" spans="1:10" x14ac:dyDescent="0.2">
      <c r="A453" s="389" t="s">
        <v>291</v>
      </c>
      <c r="B453" s="389"/>
      <c r="C453" s="389"/>
      <c r="D453" s="389"/>
      <c r="E453" s="389"/>
      <c r="F453" s="389"/>
      <c r="G453" s="389"/>
      <c r="H453" s="389"/>
      <c r="I453" s="389"/>
      <c r="J453" s="389"/>
    </row>
    <row r="454" spans="1:10" ht="27" customHeight="1" x14ac:dyDescent="0.2">
      <c r="A454" s="129" t="s">
        <v>1399</v>
      </c>
      <c r="B454" s="129"/>
      <c r="C454" s="129"/>
      <c r="D454" s="129"/>
      <c r="E454" s="129"/>
      <c r="F454" s="129"/>
      <c r="G454" s="129"/>
      <c r="H454" s="129"/>
      <c r="I454" s="129"/>
      <c r="J454" s="129"/>
    </row>
    <row r="455" spans="1:10" ht="15" customHeight="1" x14ac:dyDescent="0.2">
      <c r="A455" s="128" t="s">
        <v>293</v>
      </c>
      <c r="B455" s="128"/>
      <c r="C455" s="128"/>
      <c r="D455" s="128"/>
      <c r="E455" s="128"/>
      <c r="F455" s="128"/>
      <c r="G455" s="128"/>
      <c r="H455" s="128"/>
      <c r="I455" s="128"/>
      <c r="J455" s="128"/>
    </row>
    <row r="456" spans="1:10" ht="33.75" x14ac:dyDescent="0.2">
      <c r="A456" s="152" t="s">
        <v>243</v>
      </c>
      <c r="B456" s="151" t="s">
        <v>242</v>
      </c>
      <c r="C456" s="151"/>
      <c r="D456" s="151"/>
      <c r="E456" s="132" t="str">
        <f t="shared" ref="E456:J456" si="67">E37</f>
        <v>Actuals           2014-2015</v>
      </c>
      <c r="F456" s="132" t="str">
        <f t="shared" si="67"/>
        <v>Approved Estimates          2015-2016</v>
      </c>
      <c r="G456" s="132" t="str">
        <f t="shared" si="67"/>
        <v>Revised Estimates                 2015-2016</v>
      </c>
      <c r="H456" s="132" t="str">
        <f t="shared" si="67"/>
        <v>Budget Estimates      2016-2017</v>
      </c>
      <c r="I456" s="132" t="str">
        <f t="shared" si="67"/>
        <v>Forward Estimates     2017-2018</v>
      </c>
      <c r="J456" s="132" t="str">
        <f t="shared" si="67"/>
        <v>Forward Estimates     2018-2019</v>
      </c>
    </row>
    <row r="457" spans="1:10" x14ac:dyDescent="0.2">
      <c r="A457" s="133"/>
      <c r="B457" s="134"/>
      <c r="C457" s="134"/>
      <c r="D457" s="134"/>
      <c r="E457" s="135"/>
      <c r="F457" s="262"/>
      <c r="G457" s="135"/>
      <c r="H457" s="136"/>
      <c r="I457" s="158"/>
      <c r="J457" s="135"/>
    </row>
    <row r="458" spans="1:10" x14ac:dyDescent="0.2">
      <c r="A458" s="137" t="s">
        <v>1274</v>
      </c>
      <c r="B458" s="137"/>
      <c r="C458" s="137"/>
      <c r="D458" s="137"/>
      <c r="E458" s="138">
        <f t="shared" ref="E458:J458" si="68">SUM(E457:E457)</f>
        <v>0</v>
      </c>
      <c r="F458" s="138">
        <f t="shared" si="68"/>
        <v>0</v>
      </c>
      <c r="G458" s="138">
        <f t="shared" si="68"/>
        <v>0</v>
      </c>
      <c r="H458" s="138">
        <f t="shared" si="68"/>
        <v>0</v>
      </c>
      <c r="I458" s="138">
        <f t="shared" si="68"/>
        <v>0</v>
      </c>
      <c r="J458" s="138">
        <f t="shared" si="68"/>
        <v>0</v>
      </c>
    </row>
    <row r="459" spans="1:10" x14ac:dyDescent="0.2">
      <c r="A459" s="129"/>
      <c r="B459" s="129"/>
      <c r="C459" s="129"/>
      <c r="D459" s="129"/>
      <c r="E459" s="129"/>
      <c r="F459" s="129"/>
      <c r="G459" s="129"/>
      <c r="H459" s="129"/>
      <c r="I459" s="129"/>
      <c r="J459" s="129"/>
    </row>
    <row r="460" spans="1:10" x14ac:dyDescent="0.2">
      <c r="A460" s="128" t="s">
        <v>284</v>
      </c>
      <c r="B460" s="128"/>
      <c r="C460" s="128"/>
      <c r="D460" s="128"/>
      <c r="E460" s="128"/>
      <c r="F460" s="128"/>
      <c r="G460" s="128"/>
      <c r="H460" s="128"/>
      <c r="I460" s="128"/>
      <c r="J460" s="128"/>
    </row>
    <row r="461" spans="1:10" ht="33.75" x14ac:dyDescent="0.2">
      <c r="A461" s="152" t="s">
        <v>243</v>
      </c>
      <c r="B461" s="151" t="s">
        <v>242</v>
      </c>
      <c r="C461" s="151"/>
      <c r="D461" s="151"/>
      <c r="E461" s="132" t="str">
        <f t="shared" ref="E461:J461" si="69">E37</f>
        <v>Actuals           2014-2015</v>
      </c>
      <c r="F461" s="132" t="str">
        <f t="shared" si="69"/>
        <v>Approved Estimates          2015-2016</v>
      </c>
      <c r="G461" s="132" t="str">
        <f t="shared" si="69"/>
        <v>Revised Estimates                 2015-2016</v>
      </c>
      <c r="H461" s="132" t="str">
        <f t="shared" si="69"/>
        <v>Budget Estimates      2016-2017</v>
      </c>
      <c r="I461" s="132" t="str">
        <f t="shared" si="69"/>
        <v>Forward Estimates     2017-2018</v>
      </c>
      <c r="J461" s="132" t="str">
        <f t="shared" si="69"/>
        <v>Forward Estimates     2018-2019</v>
      </c>
    </row>
    <row r="462" spans="1:10" x14ac:dyDescent="0.2">
      <c r="A462" s="151" t="s">
        <v>7</v>
      </c>
      <c r="B462" s="151"/>
      <c r="C462" s="151"/>
      <c r="D462" s="151"/>
      <c r="E462" s="151"/>
      <c r="F462" s="151"/>
      <c r="G462" s="151"/>
      <c r="H462" s="151"/>
      <c r="I462" s="151"/>
      <c r="J462" s="190"/>
    </row>
    <row r="463" spans="1:10" x14ac:dyDescent="0.2">
      <c r="A463" s="207">
        <v>210</v>
      </c>
      <c r="B463" s="129" t="s">
        <v>7</v>
      </c>
      <c r="C463" s="129"/>
      <c r="D463" s="129"/>
      <c r="E463" s="211">
        <v>254676</v>
      </c>
      <c r="F463" s="209">
        <v>299100</v>
      </c>
      <c r="G463" s="211">
        <v>299100</v>
      </c>
      <c r="H463" s="210">
        <v>300700</v>
      </c>
      <c r="I463" s="211">
        <v>324400</v>
      </c>
      <c r="J463" s="211">
        <v>329800</v>
      </c>
    </row>
    <row r="464" spans="1:10" x14ac:dyDescent="0.2">
      <c r="A464" s="207">
        <v>212</v>
      </c>
      <c r="B464" s="129" t="s">
        <v>9</v>
      </c>
      <c r="C464" s="129"/>
      <c r="D464" s="129"/>
      <c r="E464" s="211">
        <v>0</v>
      </c>
      <c r="F464" s="209">
        <v>0</v>
      </c>
      <c r="G464" s="211">
        <v>0</v>
      </c>
      <c r="H464" s="210">
        <v>0</v>
      </c>
      <c r="I464" s="211">
        <v>0</v>
      </c>
      <c r="J464" s="211">
        <v>0</v>
      </c>
    </row>
    <row r="465" spans="1:10" x14ac:dyDescent="0.2">
      <c r="A465" s="207">
        <v>216</v>
      </c>
      <c r="B465" s="129" t="s">
        <v>10</v>
      </c>
      <c r="C465" s="129"/>
      <c r="D465" s="129"/>
      <c r="E465" s="211">
        <v>23494</v>
      </c>
      <c r="F465" s="209">
        <v>43700</v>
      </c>
      <c r="G465" s="211">
        <v>43700</v>
      </c>
      <c r="H465" s="210">
        <v>53300</v>
      </c>
      <c r="I465" s="211">
        <v>58400</v>
      </c>
      <c r="J465" s="211">
        <v>58400</v>
      </c>
    </row>
    <row r="466" spans="1:10" x14ac:dyDescent="0.2">
      <c r="A466" s="207">
        <v>218</v>
      </c>
      <c r="B466" s="129" t="s">
        <v>294</v>
      </c>
      <c r="C466" s="129"/>
      <c r="D466" s="129"/>
      <c r="E466" s="211">
        <v>0</v>
      </c>
      <c r="F466" s="209">
        <v>0</v>
      </c>
      <c r="G466" s="211">
        <v>0</v>
      </c>
      <c r="H466" s="210">
        <v>0</v>
      </c>
      <c r="I466" s="211">
        <v>0</v>
      </c>
      <c r="J466" s="211">
        <v>0</v>
      </c>
    </row>
    <row r="467" spans="1:10" x14ac:dyDescent="0.2">
      <c r="A467" s="156" t="s">
        <v>295</v>
      </c>
      <c r="B467" s="156"/>
      <c r="C467" s="156"/>
      <c r="D467" s="156"/>
      <c r="E467" s="157">
        <f t="shared" ref="E467:J467" si="70">SUM(E463:E466)</f>
        <v>278170</v>
      </c>
      <c r="F467" s="157">
        <f t="shared" si="70"/>
        <v>342800</v>
      </c>
      <c r="G467" s="157">
        <f t="shared" si="70"/>
        <v>342800</v>
      </c>
      <c r="H467" s="157">
        <f t="shared" si="70"/>
        <v>354000</v>
      </c>
      <c r="I467" s="157">
        <f t="shared" si="70"/>
        <v>382800</v>
      </c>
      <c r="J467" s="157">
        <f t="shared" si="70"/>
        <v>388200</v>
      </c>
    </row>
    <row r="468" spans="1:10" x14ac:dyDescent="0.2">
      <c r="A468" s="156" t="s">
        <v>296</v>
      </c>
      <c r="B468" s="156"/>
      <c r="C468" s="156"/>
      <c r="D468" s="156"/>
      <c r="E468" s="156"/>
      <c r="F468" s="156"/>
      <c r="G468" s="156"/>
      <c r="H468" s="156"/>
      <c r="I468" s="156"/>
      <c r="J468" s="190"/>
    </row>
    <row r="469" spans="1:10" x14ac:dyDescent="0.2">
      <c r="A469" s="207">
        <v>228</v>
      </c>
      <c r="B469" s="129" t="s">
        <v>208</v>
      </c>
      <c r="C469" s="129"/>
      <c r="D469" s="129"/>
      <c r="E469" s="211">
        <v>5990.67</v>
      </c>
      <c r="F469" s="211">
        <v>6000</v>
      </c>
      <c r="G469" s="211">
        <v>6000</v>
      </c>
      <c r="H469" s="210">
        <v>6000</v>
      </c>
      <c r="I469" s="211">
        <v>6000</v>
      </c>
      <c r="J469" s="211">
        <v>6000</v>
      </c>
    </row>
    <row r="470" spans="1:10" x14ac:dyDescent="0.2">
      <c r="A470" s="207">
        <v>232</v>
      </c>
      <c r="B470" s="129" t="s">
        <v>211</v>
      </c>
      <c r="C470" s="129"/>
      <c r="D470" s="129"/>
      <c r="E470" s="211">
        <v>14926</v>
      </c>
      <c r="F470" s="211">
        <v>115000</v>
      </c>
      <c r="G470" s="211">
        <v>80000</v>
      </c>
      <c r="H470" s="210">
        <v>95000</v>
      </c>
      <c r="I470" s="211">
        <v>95000</v>
      </c>
      <c r="J470" s="211">
        <v>95000</v>
      </c>
    </row>
    <row r="471" spans="1:10" ht="15" customHeight="1" x14ac:dyDescent="0.2">
      <c r="A471" s="207">
        <v>236</v>
      </c>
      <c r="B471" s="129" t="s">
        <v>213</v>
      </c>
      <c r="C471" s="129"/>
      <c r="D471" s="129"/>
      <c r="E471" s="211">
        <v>2500</v>
      </c>
      <c r="F471" s="211">
        <v>10000</v>
      </c>
      <c r="G471" s="211">
        <v>0</v>
      </c>
      <c r="H471" s="210">
        <v>5000</v>
      </c>
      <c r="I471" s="211">
        <v>5000</v>
      </c>
      <c r="J471" s="211">
        <v>5000</v>
      </c>
    </row>
    <row r="472" spans="1:10" x14ac:dyDescent="0.2">
      <c r="A472" s="207">
        <v>273</v>
      </c>
      <c r="B472" s="129" t="s">
        <v>226</v>
      </c>
      <c r="C472" s="129"/>
      <c r="D472" s="129"/>
      <c r="E472" s="211">
        <v>99591.43</v>
      </c>
      <c r="F472" s="211">
        <v>95000</v>
      </c>
      <c r="G472" s="211">
        <v>70000</v>
      </c>
      <c r="H472" s="210">
        <v>95000</v>
      </c>
      <c r="I472" s="211">
        <v>95000</v>
      </c>
      <c r="J472" s="211">
        <v>95000</v>
      </c>
    </row>
    <row r="473" spans="1:10" x14ac:dyDescent="0.2">
      <c r="A473" s="207">
        <v>275</v>
      </c>
      <c r="B473" s="129" t="s">
        <v>228</v>
      </c>
      <c r="C473" s="129"/>
      <c r="D473" s="129"/>
      <c r="E473" s="211">
        <v>8650.9</v>
      </c>
      <c r="F473" s="211">
        <v>11800</v>
      </c>
      <c r="G473" s="211">
        <v>6500</v>
      </c>
      <c r="H473" s="210">
        <v>11800</v>
      </c>
      <c r="I473" s="211">
        <v>11800</v>
      </c>
      <c r="J473" s="211">
        <v>11800</v>
      </c>
    </row>
    <row r="474" spans="1:10" x14ac:dyDescent="0.2">
      <c r="A474" s="156" t="s">
        <v>298</v>
      </c>
      <c r="B474" s="156"/>
      <c r="C474" s="156"/>
      <c r="D474" s="156"/>
      <c r="E474" s="157">
        <f t="shared" ref="E474:J474" si="71">SUM(E469:E473)</f>
        <v>131659</v>
      </c>
      <c r="F474" s="264">
        <f t="shared" si="71"/>
        <v>237800</v>
      </c>
      <c r="G474" s="157">
        <f t="shared" si="71"/>
        <v>162500</v>
      </c>
      <c r="H474" s="157">
        <f t="shared" si="71"/>
        <v>212800</v>
      </c>
      <c r="I474" s="157">
        <f t="shared" si="71"/>
        <v>212800</v>
      </c>
      <c r="J474" s="157">
        <f t="shared" si="71"/>
        <v>212800</v>
      </c>
    </row>
    <row r="475" spans="1:10" x14ac:dyDescent="0.2">
      <c r="A475" s="159" t="s">
        <v>299</v>
      </c>
      <c r="B475" s="159"/>
      <c r="C475" s="159"/>
      <c r="D475" s="159"/>
      <c r="E475" s="160">
        <f t="shared" ref="E475:J475" si="72">SUM(E467,E474)</f>
        <v>409829</v>
      </c>
      <c r="F475" s="160">
        <f t="shared" si="72"/>
        <v>580600</v>
      </c>
      <c r="G475" s="160">
        <f t="shared" si="72"/>
        <v>505300</v>
      </c>
      <c r="H475" s="160">
        <f t="shared" si="72"/>
        <v>566800</v>
      </c>
      <c r="I475" s="160">
        <f t="shared" si="72"/>
        <v>595600</v>
      </c>
      <c r="J475" s="160">
        <f t="shared" si="72"/>
        <v>601000</v>
      </c>
    </row>
    <row r="476" spans="1:10" x14ac:dyDescent="0.2">
      <c r="A476" s="129"/>
      <c r="B476" s="129"/>
      <c r="C476" s="129"/>
      <c r="D476" s="129"/>
      <c r="E476" s="129"/>
      <c r="F476" s="129"/>
      <c r="G476" s="129"/>
      <c r="H476" s="129"/>
      <c r="I476" s="129"/>
      <c r="J476" s="190"/>
    </row>
    <row r="477" spans="1:10" x14ac:dyDescent="0.2">
      <c r="A477" s="162" t="s">
        <v>15</v>
      </c>
      <c r="B477" s="162"/>
      <c r="C477" s="162"/>
      <c r="D477" s="162"/>
      <c r="E477" s="162"/>
      <c r="F477" s="162"/>
      <c r="G477" s="162"/>
      <c r="H477" s="162"/>
      <c r="I477" s="162"/>
      <c r="J477" s="162"/>
    </row>
    <row r="478" spans="1:10" x14ac:dyDescent="0.2">
      <c r="A478" s="131" t="s">
        <v>242</v>
      </c>
      <c r="B478" s="131"/>
      <c r="C478" s="131"/>
      <c r="D478" s="131"/>
      <c r="E478" s="128" t="str">
        <f t="shared" ref="E478:J478" si="73">E37</f>
        <v>Actuals           2014-2015</v>
      </c>
      <c r="F478" s="128" t="str">
        <f t="shared" si="73"/>
        <v>Approved Estimates          2015-2016</v>
      </c>
      <c r="G478" s="128" t="str">
        <f t="shared" si="73"/>
        <v>Revised Estimates                 2015-2016</v>
      </c>
      <c r="H478" s="128" t="str">
        <f t="shared" si="73"/>
        <v>Budget Estimates      2016-2017</v>
      </c>
      <c r="I478" s="128" t="str">
        <f t="shared" si="73"/>
        <v>Forward Estimates     2017-2018</v>
      </c>
      <c r="J478" s="128" t="str">
        <f t="shared" si="73"/>
        <v>Forward Estimates     2018-2019</v>
      </c>
    </row>
    <row r="479" spans="1:10" ht="18.75" customHeight="1" x14ac:dyDescent="0.2">
      <c r="A479" s="130" t="s">
        <v>243</v>
      </c>
      <c r="B479" s="130" t="s">
        <v>244</v>
      </c>
      <c r="C479" s="131" t="s">
        <v>245</v>
      </c>
      <c r="D479" s="131"/>
      <c r="E479" s="101"/>
      <c r="F479" s="101"/>
      <c r="G479" s="101"/>
      <c r="H479" s="101"/>
      <c r="I479" s="101"/>
      <c r="J479" s="101"/>
    </row>
    <row r="480" spans="1:10" x14ac:dyDescent="0.2">
      <c r="A480" s="163"/>
      <c r="B480" s="163"/>
      <c r="C480" s="156"/>
      <c r="D480" s="156"/>
      <c r="E480" s="158"/>
      <c r="F480" s="209"/>
      <c r="G480" s="158"/>
      <c r="H480" s="136"/>
      <c r="I480" s="158"/>
      <c r="J480" s="135"/>
    </row>
    <row r="481" spans="1:10" ht="18" customHeight="1" x14ac:dyDescent="0.2">
      <c r="A481" s="163"/>
      <c r="B481" s="163"/>
      <c r="C481" s="156"/>
      <c r="D481" s="156"/>
      <c r="E481" s="158"/>
      <c r="F481" s="209"/>
      <c r="G481" s="158"/>
      <c r="H481" s="136"/>
      <c r="I481" s="158"/>
      <c r="J481" s="135"/>
    </row>
    <row r="482" spans="1:10" x14ac:dyDescent="0.2">
      <c r="A482" s="137" t="s">
        <v>15</v>
      </c>
      <c r="B482" s="137"/>
      <c r="C482" s="137"/>
      <c r="D482" s="137"/>
      <c r="E482" s="138">
        <v>0</v>
      </c>
      <c r="F482" s="138">
        <v>0</v>
      </c>
      <c r="G482" s="138">
        <v>0</v>
      </c>
      <c r="H482" s="138">
        <v>0</v>
      </c>
      <c r="I482" s="138">
        <v>0</v>
      </c>
      <c r="J482" s="138">
        <v>0</v>
      </c>
    </row>
    <row r="483" spans="1:10" x14ac:dyDescent="0.2">
      <c r="A483" s="290"/>
      <c r="B483" s="290"/>
      <c r="C483" s="290"/>
      <c r="D483" s="290"/>
      <c r="E483" s="290"/>
      <c r="F483" s="290"/>
      <c r="G483" s="290"/>
      <c r="H483" s="290"/>
      <c r="I483" s="290"/>
      <c r="J483" s="290"/>
    </row>
    <row r="484" spans="1:10" x14ac:dyDescent="0.2">
      <c r="A484" s="161" t="s">
        <v>288</v>
      </c>
      <c r="B484" s="161"/>
      <c r="C484" s="161"/>
      <c r="D484" s="161"/>
      <c r="E484" s="161"/>
      <c r="F484" s="202"/>
      <c r="G484" s="202"/>
      <c r="H484" s="202"/>
      <c r="I484" s="202"/>
      <c r="J484" s="202"/>
    </row>
    <row r="485" spans="1:10" x14ac:dyDescent="0.2">
      <c r="A485" s="131" t="s">
        <v>300</v>
      </c>
      <c r="B485" s="131"/>
      <c r="C485" s="131"/>
      <c r="D485" s="132" t="s">
        <v>301</v>
      </c>
      <c r="E485" s="132" t="s">
        <v>302</v>
      </c>
      <c r="F485" s="131" t="s">
        <v>300</v>
      </c>
      <c r="G485" s="131"/>
      <c r="H485" s="131"/>
      <c r="I485" s="132" t="s">
        <v>301</v>
      </c>
      <c r="J485" s="132" t="s">
        <v>302</v>
      </c>
    </row>
    <row r="486" spans="1:10" ht="14.25" customHeight="1" x14ac:dyDescent="0.2">
      <c r="A486" s="134" t="str">
        <f>Establishment!D395</f>
        <v>Director of Housing</v>
      </c>
      <c r="B486" s="134"/>
      <c r="C486" s="134"/>
      <c r="D486" s="133" t="str">
        <f>Establishment!E395</f>
        <v>R7</v>
      </c>
      <c r="E486" s="133">
        <f>Establishment!C395</f>
        <v>1</v>
      </c>
      <c r="F486" s="134" t="str">
        <f>Establishment!D398</f>
        <v>Clerical Officer (Snr)</v>
      </c>
      <c r="G486" s="134"/>
      <c r="H486" s="134"/>
      <c r="I486" s="133" t="str">
        <f>Establishment!E398</f>
        <v>R33-29</v>
      </c>
      <c r="J486" s="133">
        <f>Establishment!C398</f>
        <v>1</v>
      </c>
    </row>
    <row r="487" spans="1:10" ht="14.25" customHeight="1" x14ac:dyDescent="0.2">
      <c r="A487" s="134" t="str">
        <f>Establishment!D396</f>
        <v>Housing Officer I</v>
      </c>
      <c r="B487" s="134"/>
      <c r="C487" s="134"/>
      <c r="D487" s="133" t="str">
        <f>Establishment!E396</f>
        <v>R17-13/14-10</v>
      </c>
      <c r="E487" s="133">
        <f>Establishment!C396</f>
        <v>1</v>
      </c>
      <c r="F487" s="134" t="str">
        <f>Establishment!D399</f>
        <v>Housing Apprentice/Trainee Housing Officer</v>
      </c>
      <c r="G487" s="134"/>
      <c r="H487" s="134"/>
      <c r="I487" s="133" t="str">
        <f>Establishment!E399</f>
        <v>R33-24/28-22</v>
      </c>
      <c r="J487" s="133">
        <f>Establishment!C399</f>
        <v>1</v>
      </c>
    </row>
    <row r="488" spans="1:10" ht="14.25" customHeight="1" x14ac:dyDescent="0.2">
      <c r="A488" s="134" t="str">
        <f>Establishment!D397</f>
        <v>Housing Officer II</v>
      </c>
      <c r="B488" s="134"/>
      <c r="C488" s="134"/>
      <c r="D488" s="133" t="str">
        <f>Establishment!E397</f>
        <v>R22-16</v>
      </c>
      <c r="E488" s="133">
        <f>Establishment!C397</f>
        <v>3</v>
      </c>
      <c r="F488" s="134"/>
      <c r="G488" s="134"/>
      <c r="H488" s="134"/>
      <c r="I488" s="133"/>
      <c r="J488" s="133"/>
    </row>
    <row r="489" spans="1:10" ht="14.25" customHeight="1" x14ac:dyDescent="0.2">
      <c r="A489" s="203" t="s">
        <v>303</v>
      </c>
      <c r="B489" s="203"/>
      <c r="C489" s="203"/>
      <c r="D489" s="203"/>
      <c r="E489" s="203">
        <f>SUM(E484:E488)</f>
        <v>5</v>
      </c>
      <c r="F489" s="203"/>
      <c r="G489" s="203"/>
      <c r="H489" s="203"/>
      <c r="I489" s="203"/>
      <c r="J489" s="204">
        <f>SUM(E486:E488,J486:J488)</f>
        <v>7</v>
      </c>
    </row>
    <row r="490" spans="1:10" x14ac:dyDescent="0.2">
      <c r="A490" s="129"/>
      <c r="B490" s="129"/>
      <c r="C490" s="129"/>
      <c r="D490" s="129"/>
      <c r="E490" s="129"/>
      <c r="F490" s="179"/>
      <c r="G490" s="179"/>
      <c r="H490" s="179"/>
      <c r="I490" s="179"/>
      <c r="J490" s="179"/>
    </row>
    <row r="491" spans="1:10" x14ac:dyDescent="0.2">
      <c r="A491" s="180" t="s">
        <v>304</v>
      </c>
      <c r="B491" s="180"/>
      <c r="C491" s="180"/>
      <c r="D491" s="180"/>
      <c r="E491" s="180"/>
      <c r="F491" s="180"/>
      <c r="G491" s="180"/>
      <c r="H491" s="180"/>
      <c r="I491" s="180"/>
      <c r="J491" s="180"/>
    </row>
    <row r="492" spans="1:10" x14ac:dyDescent="0.2">
      <c r="A492" s="181" t="s">
        <v>305</v>
      </c>
      <c r="B492" s="181"/>
      <c r="C492" s="181"/>
      <c r="D492" s="181"/>
      <c r="E492" s="181"/>
      <c r="F492" s="181"/>
      <c r="G492" s="181"/>
      <c r="H492" s="181"/>
      <c r="I492" s="181"/>
      <c r="J492" s="181"/>
    </row>
    <row r="493" spans="1:10" x14ac:dyDescent="0.2">
      <c r="A493" s="451" t="s">
        <v>1400</v>
      </c>
      <c r="B493" s="451"/>
      <c r="C493" s="451"/>
      <c r="D493" s="451"/>
      <c r="E493" s="451"/>
      <c r="F493" s="451"/>
      <c r="G493" s="451"/>
      <c r="H493" s="451"/>
      <c r="I493" s="451"/>
      <c r="J493" s="451"/>
    </row>
    <row r="494" spans="1:10" x14ac:dyDescent="0.2">
      <c r="A494" s="451" t="s">
        <v>1401</v>
      </c>
      <c r="B494" s="451"/>
      <c r="C494" s="451"/>
      <c r="D494" s="451"/>
      <c r="E494" s="451"/>
      <c r="F494" s="451"/>
      <c r="G494" s="451"/>
      <c r="H494" s="451"/>
      <c r="I494" s="451"/>
      <c r="J494" s="451"/>
    </row>
    <row r="495" spans="1:10" x14ac:dyDescent="0.2">
      <c r="A495" s="451" t="s">
        <v>1402</v>
      </c>
      <c r="B495" s="451"/>
      <c r="C495" s="451"/>
      <c r="D495" s="451"/>
      <c r="E495" s="451"/>
      <c r="F495" s="451"/>
      <c r="G495" s="451"/>
      <c r="H495" s="451"/>
      <c r="I495" s="451"/>
      <c r="J495" s="451"/>
    </row>
    <row r="496" spans="1:10" ht="21.75" customHeight="1" x14ac:dyDescent="0.2">
      <c r="A496" s="129" t="s">
        <v>1403</v>
      </c>
      <c r="B496" s="129"/>
      <c r="C496" s="129"/>
      <c r="D496" s="129"/>
      <c r="E496" s="129"/>
      <c r="F496" s="129"/>
      <c r="G496" s="129"/>
      <c r="H496" s="129"/>
      <c r="I496" s="129"/>
      <c r="J496" s="129"/>
    </row>
    <row r="497" spans="1:10" ht="21.75" customHeight="1" x14ac:dyDescent="0.2">
      <c r="A497" s="145" t="s">
        <v>1404</v>
      </c>
      <c r="B497" s="473"/>
      <c r="C497" s="473"/>
      <c r="D497" s="473"/>
      <c r="E497" s="473"/>
      <c r="F497" s="473"/>
      <c r="G497" s="473"/>
      <c r="H497" s="473"/>
      <c r="I497" s="473"/>
      <c r="J497" s="146"/>
    </row>
    <row r="498" spans="1:10" x14ac:dyDescent="0.2">
      <c r="A498" s="451" t="s">
        <v>1405</v>
      </c>
      <c r="B498" s="451"/>
      <c r="C498" s="451"/>
      <c r="D498" s="451"/>
      <c r="E498" s="451"/>
      <c r="F498" s="451"/>
      <c r="G498" s="451"/>
      <c r="H498" s="451"/>
      <c r="I498" s="451"/>
      <c r="J498" s="451"/>
    </row>
    <row r="499" spans="1:10" ht="21.75" customHeight="1" x14ac:dyDescent="0.2">
      <c r="A499" s="468" t="s">
        <v>1406</v>
      </c>
      <c r="B499" s="469"/>
      <c r="C499" s="469"/>
      <c r="D499" s="469"/>
      <c r="E499" s="469"/>
      <c r="F499" s="469"/>
      <c r="G499" s="469"/>
      <c r="H499" s="469"/>
      <c r="I499" s="469"/>
      <c r="J499" s="470"/>
    </row>
    <row r="500" spans="1:10" x14ac:dyDescent="0.2">
      <c r="A500" s="129"/>
      <c r="B500" s="129"/>
      <c r="C500" s="129"/>
      <c r="D500" s="129"/>
      <c r="E500" s="129"/>
      <c r="F500" s="129"/>
      <c r="G500" s="129"/>
      <c r="H500" s="129"/>
      <c r="I500" s="129"/>
      <c r="J500" s="129"/>
    </row>
    <row r="501" spans="1:10" x14ac:dyDescent="0.2">
      <c r="A501" s="183" t="s">
        <v>415</v>
      </c>
      <c r="B501" s="183"/>
      <c r="C501" s="183"/>
      <c r="D501" s="183"/>
      <c r="E501" s="183"/>
      <c r="F501" s="183"/>
      <c r="G501" s="183"/>
      <c r="H501" s="183"/>
      <c r="I501" s="183"/>
      <c r="J501" s="183"/>
    </row>
    <row r="502" spans="1:10" x14ac:dyDescent="0.2">
      <c r="A502" s="145" t="s">
        <v>1407</v>
      </c>
      <c r="B502" s="473"/>
      <c r="C502" s="473"/>
      <c r="D502" s="473"/>
      <c r="E502" s="473"/>
      <c r="F502" s="473"/>
      <c r="G502" s="473"/>
      <c r="H502" s="473"/>
      <c r="I502" s="473"/>
      <c r="J502" s="146"/>
    </row>
    <row r="503" spans="1:10" x14ac:dyDescent="0.2">
      <c r="A503" s="306" t="s">
        <v>1408</v>
      </c>
      <c r="B503" s="306"/>
      <c r="C503" s="306"/>
      <c r="D503" s="306"/>
      <c r="E503" s="306"/>
      <c r="F503" s="306"/>
      <c r="G503" s="306"/>
      <c r="H503" s="306"/>
      <c r="I503" s="306"/>
      <c r="J503" s="306"/>
    </row>
    <row r="504" spans="1:10" x14ac:dyDescent="0.2">
      <c r="A504" s="145" t="s">
        <v>1409</v>
      </c>
      <c r="B504" s="473"/>
      <c r="C504" s="473"/>
      <c r="D504" s="473"/>
      <c r="E504" s="473"/>
      <c r="F504" s="473"/>
      <c r="G504" s="473"/>
      <c r="H504" s="473"/>
      <c r="I504" s="473"/>
      <c r="J504" s="146"/>
    </row>
    <row r="505" spans="1:10" x14ac:dyDescent="0.2">
      <c r="A505" s="129"/>
      <c r="B505" s="129"/>
      <c r="C505" s="129"/>
      <c r="D505" s="129"/>
      <c r="E505" s="129"/>
      <c r="F505" s="129"/>
      <c r="G505" s="129"/>
      <c r="H505" s="129"/>
      <c r="I505" s="129"/>
      <c r="J505" s="129"/>
    </row>
    <row r="506" spans="1:10" ht="22.5" x14ac:dyDescent="0.2">
      <c r="A506" s="180" t="s">
        <v>315</v>
      </c>
      <c r="B506" s="180"/>
      <c r="C506" s="180"/>
      <c r="D506" s="180"/>
      <c r="E506" s="180"/>
      <c r="F506" s="184" t="str">
        <f>F153</f>
        <v xml:space="preserve"> Actual 2014-2015</v>
      </c>
      <c r="G506" s="184" t="str">
        <f>G153</f>
        <v xml:space="preserve"> Estimate 2015-2016</v>
      </c>
      <c r="H506" s="184" t="str">
        <f>H153</f>
        <v xml:space="preserve"> Target 2016-2017</v>
      </c>
      <c r="I506" s="184" t="str">
        <f>I153</f>
        <v xml:space="preserve"> Target 2017-2018</v>
      </c>
      <c r="J506" s="184" t="str">
        <f>J153</f>
        <v xml:space="preserve"> Target 2018-2019</v>
      </c>
    </row>
    <row r="507" spans="1:10" x14ac:dyDescent="0.2">
      <c r="A507" s="180" t="s">
        <v>316</v>
      </c>
      <c r="B507" s="180"/>
      <c r="C507" s="180"/>
      <c r="D507" s="180"/>
      <c r="E507" s="180"/>
      <c r="F507" s="180"/>
      <c r="G507" s="180"/>
      <c r="H507" s="180"/>
      <c r="I507" s="180"/>
      <c r="J507" s="180"/>
    </row>
    <row r="508" spans="1:10" x14ac:dyDescent="0.2">
      <c r="A508" s="451" t="s">
        <v>1410</v>
      </c>
      <c r="B508" s="451"/>
      <c r="C508" s="451"/>
      <c r="D508" s="451"/>
      <c r="E508" s="451"/>
      <c r="F508" s="353"/>
      <c r="G508" s="186"/>
      <c r="H508" s="186">
        <v>1</v>
      </c>
      <c r="I508" s="186">
        <v>1</v>
      </c>
      <c r="J508" s="186">
        <v>2</v>
      </c>
    </row>
    <row r="509" spans="1:10" ht="33.75" customHeight="1" x14ac:dyDescent="0.2">
      <c r="A509" s="451" t="s">
        <v>1411</v>
      </c>
      <c r="B509" s="306"/>
      <c r="C509" s="306"/>
      <c r="D509" s="306"/>
      <c r="E509" s="306"/>
      <c r="F509" s="353"/>
      <c r="G509" s="186">
        <v>7</v>
      </c>
      <c r="H509" s="186">
        <v>10</v>
      </c>
      <c r="I509" s="186">
        <v>9</v>
      </c>
      <c r="J509" s="186">
        <v>5</v>
      </c>
    </row>
    <row r="510" spans="1:10" ht="21.75" customHeight="1" x14ac:dyDescent="0.2">
      <c r="A510" s="451" t="s">
        <v>1412</v>
      </c>
      <c r="B510" s="451"/>
      <c r="C510" s="451"/>
      <c r="D510" s="451"/>
      <c r="E510" s="451"/>
      <c r="F510" s="353"/>
      <c r="G510" s="186">
        <v>62</v>
      </c>
      <c r="H510" s="186">
        <v>10</v>
      </c>
      <c r="I510" s="186">
        <v>10</v>
      </c>
      <c r="J510" s="186">
        <v>10</v>
      </c>
    </row>
    <row r="511" spans="1:10" x14ac:dyDescent="0.2">
      <c r="A511" s="306" t="s">
        <v>1413</v>
      </c>
      <c r="B511" s="306"/>
      <c r="C511" s="306"/>
      <c r="D511" s="306"/>
      <c r="E511" s="306"/>
      <c r="F511" s="353">
        <v>78</v>
      </c>
      <c r="G511" s="186">
        <v>130</v>
      </c>
      <c r="H511" s="186">
        <v>80</v>
      </c>
      <c r="I511" s="186">
        <v>85</v>
      </c>
      <c r="J511" s="186">
        <v>90</v>
      </c>
    </row>
    <row r="512" spans="1:10" x14ac:dyDescent="0.2">
      <c r="A512" s="188"/>
      <c r="B512" s="188"/>
      <c r="C512" s="188"/>
      <c r="D512" s="188"/>
      <c r="E512" s="188"/>
      <c r="F512" s="273"/>
      <c r="G512" s="190"/>
      <c r="H512" s="190"/>
      <c r="I512" s="190"/>
      <c r="J512" s="190"/>
    </row>
    <row r="513" spans="1:10" x14ac:dyDescent="0.2">
      <c r="A513" s="180" t="s">
        <v>324</v>
      </c>
      <c r="B513" s="180"/>
      <c r="C513" s="180"/>
      <c r="D513" s="180"/>
      <c r="E513" s="180"/>
      <c r="F513" s="180"/>
      <c r="G513" s="180"/>
      <c r="H513" s="180"/>
      <c r="I513" s="180"/>
      <c r="J513" s="180"/>
    </row>
    <row r="514" spans="1:10" ht="25.5" customHeight="1" x14ac:dyDescent="0.2">
      <c r="A514" s="451" t="s">
        <v>1414</v>
      </c>
      <c r="B514" s="451"/>
      <c r="C514" s="451"/>
      <c r="D514" s="451"/>
      <c r="E514" s="451"/>
      <c r="F514" s="353"/>
      <c r="G514" s="186"/>
      <c r="H514" s="186">
        <v>1</v>
      </c>
      <c r="I514" s="186">
        <v>1</v>
      </c>
      <c r="J514" s="186">
        <v>2</v>
      </c>
    </row>
    <row r="515" spans="1:10" x14ac:dyDescent="0.2">
      <c r="A515" s="451" t="s">
        <v>1415</v>
      </c>
      <c r="B515" s="451"/>
      <c r="C515" s="451"/>
      <c r="D515" s="451"/>
      <c r="E515" s="451"/>
      <c r="F515" s="353"/>
      <c r="G515" s="186">
        <v>20</v>
      </c>
      <c r="H515" s="186">
        <v>25</v>
      </c>
      <c r="I515" s="186">
        <v>10</v>
      </c>
      <c r="J515" s="186">
        <v>10</v>
      </c>
    </row>
    <row r="516" spans="1:10" x14ac:dyDescent="0.2">
      <c r="A516" s="451" t="s">
        <v>1416</v>
      </c>
      <c r="B516" s="451"/>
      <c r="C516" s="451"/>
      <c r="D516" s="451"/>
      <c r="E516" s="451"/>
      <c r="F516" s="353"/>
      <c r="G516" s="186">
        <v>25</v>
      </c>
      <c r="H516" s="186">
        <v>10</v>
      </c>
      <c r="I516" s="186">
        <v>10</v>
      </c>
      <c r="J516" s="186">
        <v>10</v>
      </c>
    </row>
    <row r="518" spans="1:10" x14ac:dyDescent="0.2">
      <c r="A518" s="150" t="s">
        <v>1417</v>
      </c>
      <c r="B518" s="150"/>
      <c r="C518" s="150"/>
      <c r="D518" s="150"/>
      <c r="E518" s="150"/>
      <c r="F518" s="150"/>
      <c r="G518" s="150"/>
      <c r="H518" s="150"/>
      <c r="I518" s="150"/>
      <c r="J518" s="150"/>
    </row>
    <row r="519" spans="1:10" x14ac:dyDescent="0.2">
      <c r="A519" s="389" t="s">
        <v>291</v>
      </c>
      <c r="B519" s="389"/>
      <c r="C519" s="389"/>
      <c r="D519" s="389"/>
      <c r="E519" s="389"/>
      <c r="F519" s="389"/>
      <c r="G519" s="389"/>
      <c r="H519" s="389"/>
      <c r="I519" s="389"/>
      <c r="J519" s="389"/>
    </row>
    <row r="520" spans="1:10" ht="22.5" customHeight="1" x14ac:dyDescent="0.2">
      <c r="A520" s="474" t="s">
        <v>1418</v>
      </c>
      <c r="B520" s="474"/>
      <c r="C520" s="474"/>
      <c r="D520" s="474"/>
      <c r="E520" s="474"/>
      <c r="F520" s="474"/>
      <c r="G520" s="474"/>
      <c r="H520" s="474"/>
      <c r="I520" s="474"/>
      <c r="J520" s="474"/>
    </row>
    <row r="521" spans="1:10" ht="12.75" customHeight="1" x14ac:dyDescent="0.2">
      <c r="A521" s="128" t="s">
        <v>293</v>
      </c>
      <c r="B521" s="128"/>
      <c r="C521" s="128"/>
      <c r="D521" s="128"/>
      <c r="E521" s="128"/>
      <c r="F521" s="128"/>
      <c r="G521" s="128"/>
      <c r="H521" s="128"/>
      <c r="I521" s="128"/>
      <c r="J521" s="128"/>
    </row>
    <row r="522" spans="1:10" ht="33.75" customHeight="1" x14ac:dyDescent="0.2">
      <c r="A522" s="152" t="s">
        <v>243</v>
      </c>
      <c r="B522" s="151" t="s">
        <v>242</v>
      </c>
      <c r="C522" s="151"/>
      <c r="D522" s="151"/>
      <c r="E522" s="132" t="s">
        <v>1419</v>
      </c>
      <c r="F522" s="132" t="s">
        <v>1420</v>
      </c>
      <c r="G522" s="132" t="s">
        <v>1421</v>
      </c>
      <c r="H522" s="132" t="s">
        <v>1422</v>
      </c>
      <c r="I522" s="132" t="s">
        <v>1423</v>
      </c>
      <c r="J522" s="132" t="s">
        <v>1424</v>
      </c>
    </row>
    <row r="523" spans="1:10" ht="12.75" customHeight="1" x14ac:dyDescent="0.2">
      <c r="A523" s="133">
        <v>122</v>
      </c>
      <c r="B523" s="134" t="s">
        <v>844</v>
      </c>
      <c r="C523" s="134" t="s">
        <v>844</v>
      </c>
      <c r="D523" s="134" t="s">
        <v>844</v>
      </c>
      <c r="E523" s="135">
        <v>0</v>
      </c>
      <c r="F523" s="158">
        <v>7000</v>
      </c>
      <c r="G523" s="135">
        <v>1200</v>
      </c>
      <c r="H523" s="136">
        <v>7000</v>
      </c>
      <c r="I523" s="158">
        <v>7000</v>
      </c>
      <c r="J523" s="135">
        <v>7000</v>
      </c>
    </row>
    <row r="524" spans="1:10" ht="12.75" customHeight="1" x14ac:dyDescent="0.2">
      <c r="A524" s="133">
        <v>122</v>
      </c>
      <c r="B524" s="134" t="s">
        <v>1425</v>
      </c>
      <c r="C524" s="134" t="s">
        <v>1425</v>
      </c>
      <c r="D524" s="134" t="s">
        <v>1425</v>
      </c>
      <c r="E524" s="135">
        <v>0</v>
      </c>
      <c r="F524" s="158">
        <v>400</v>
      </c>
      <c r="G524" s="135">
        <v>0</v>
      </c>
      <c r="H524" s="136">
        <v>400</v>
      </c>
      <c r="I524" s="158">
        <v>400</v>
      </c>
      <c r="J524" s="135">
        <v>400</v>
      </c>
    </row>
    <row r="525" spans="1:10" x14ac:dyDescent="0.2">
      <c r="A525" s="137" t="s">
        <v>1274</v>
      </c>
      <c r="B525" s="137"/>
      <c r="C525" s="137"/>
      <c r="D525" s="137"/>
      <c r="E525" s="138">
        <f t="shared" ref="E525:J525" si="74">SUM(E523:E524)</f>
        <v>0</v>
      </c>
      <c r="F525" s="138">
        <f t="shared" si="74"/>
        <v>7400</v>
      </c>
      <c r="G525" s="138">
        <f t="shared" si="74"/>
        <v>1200</v>
      </c>
      <c r="H525" s="138">
        <f t="shared" si="74"/>
        <v>7400</v>
      </c>
      <c r="I525" s="138">
        <f t="shared" si="74"/>
        <v>7400</v>
      </c>
      <c r="J525" s="138">
        <f t="shared" si="74"/>
        <v>7400</v>
      </c>
    </row>
    <row r="526" spans="1:10" ht="12.75" customHeight="1" x14ac:dyDescent="0.2">
      <c r="A526" s="129"/>
      <c r="B526" s="129"/>
      <c r="C526" s="129"/>
      <c r="D526" s="129"/>
      <c r="E526" s="129"/>
      <c r="F526" s="129"/>
      <c r="G526" s="129"/>
      <c r="H526" s="129"/>
      <c r="I526" s="129"/>
      <c r="J526" s="129"/>
    </row>
    <row r="527" spans="1:10" ht="12.75" customHeight="1" x14ac:dyDescent="0.2">
      <c r="A527" s="128" t="s">
        <v>284</v>
      </c>
      <c r="B527" s="128"/>
      <c r="C527" s="128"/>
      <c r="D527" s="128"/>
      <c r="E527" s="128"/>
      <c r="F527" s="128"/>
      <c r="G527" s="128"/>
      <c r="H527" s="128"/>
      <c r="I527" s="128"/>
      <c r="J527" s="128"/>
    </row>
    <row r="528" spans="1:10" ht="12.75" customHeight="1" x14ac:dyDescent="0.2">
      <c r="A528" s="152" t="s">
        <v>243</v>
      </c>
      <c r="B528" s="151" t="s">
        <v>242</v>
      </c>
      <c r="C528" s="151"/>
      <c r="D528" s="151"/>
      <c r="E528" s="132" t="s">
        <v>1419</v>
      </c>
      <c r="F528" s="132" t="s">
        <v>1420</v>
      </c>
      <c r="G528" s="132" t="s">
        <v>1421</v>
      </c>
      <c r="H528" s="132" t="s">
        <v>1422</v>
      </c>
      <c r="I528" s="132" t="s">
        <v>1423</v>
      </c>
      <c r="J528" s="132" t="s">
        <v>1424</v>
      </c>
    </row>
    <row r="529" spans="1:10" ht="12.75" customHeight="1" x14ac:dyDescent="0.2">
      <c r="A529" s="151" t="s">
        <v>1426</v>
      </c>
      <c r="B529" s="151"/>
      <c r="C529" s="151"/>
      <c r="D529" s="151"/>
      <c r="E529" s="151"/>
      <c r="F529" s="151"/>
      <c r="G529" s="151"/>
      <c r="H529" s="151"/>
      <c r="I529" s="151"/>
      <c r="J529" s="190"/>
    </row>
    <row r="530" spans="1:10" ht="12.75" customHeight="1" x14ac:dyDescent="0.2">
      <c r="A530" s="207">
        <v>210</v>
      </c>
      <c r="B530" s="129" t="s">
        <v>7</v>
      </c>
      <c r="C530" s="129"/>
      <c r="D530" s="129"/>
      <c r="E530" s="211">
        <v>0</v>
      </c>
      <c r="F530" s="209">
        <v>87100</v>
      </c>
      <c r="G530" s="211">
        <v>87100</v>
      </c>
      <c r="H530" s="210">
        <v>118700</v>
      </c>
      <c r="I530" s="211">
        <v>150500</v>
      </c>
      <c r="J530" s="211">
        <v>153700</v>
      </c>
    </row>
    <row r="531" spans="1:10" ht="12.75" customHeight="1" x14ac:dyDescent="0.2">
      <c r="A531" s="207">
        <v>212</v>
      </c>
      <c r="B531" s="129" t="s">
        <v>9</v>
      </c>
      <c r="C531" s="129"/>
      <c r="D531" s="129"/>
      <c r="E531" s="211">
        <v>0</v>
      </c>
      <c r="F531" s="209">
        <v>0</v>
      </c>
      <c r="G531" s="211">
        <v>0</v>
      </c>
      <c r="H531" s="210">
        <v>0</v>
      </c>
      <c r="I531" s="211">
        <v>0</v>
      </c>
      <c r="J531" s="211">
        <v>0</v>
      </c>
    </row>
    <row r="532" spans="1:10" ht="12.75" customHeight="1" x14ac:dyDescent="0.2">
      <c r="A532" s="207">
        <v>216</v>
      </c>
      <c r="B532" s="129" t="s">
        <v>10</v>
      </c>
      <c r="C532" s="129"/>
      <c r="D532" s="129"/>
      <c r="E532" s="211"/>
      <c r="F532" s="209">
        <v>9600</v>
      </c>
      <c r="G532" s="211">
        <v>9600</v>
      </c>
      <c r="H532" s="210">
        <v>20000</v>
      </c>
      <c r="I532" s="211">
        <v>20000</v>
      </c>
      <c r="J532" s="211">
        <v>20000</v>
      </c>
    </row>
    <row r="533" spans="1:10" x14ac:dyDescent="0.2">
      <c r="A533" s="207">
        <v>218</v>
      </c>
      <c r="B533" s="129" t="s">
        <v>294</v>
      </c>
      <c r="C533" s="129"/>
      <c r="D533" s="129"/>
      <c r="E533" s="211">
        <v>0</v>
      </c>
      <c r="F533" s="209">
        <v>0</v>
      </c>
      <c r="G533" s="211">
        <v>0</v>
      </c>
      <c r="H533" s="210">
        <v>0</v>
      </c>
      <c r="I533" s="211">
        <v>0</v>
      </c>
      <c r="J533" s="211">
        <v>0</v>
      </c>
    </row>
    <row r="534" spans="1:10" x14ac:dyDescent="0.2">
      <c r="A534" s="156" t="s">
        <v>1427</v>
      </c>
      <c r="B534" s="156"/>
      <c r="C534" s="156"/>
      <c r="D534" s="156"/>
      <c r="E534" s="157">
        <f t="shared" ref="E534:J534" si="75">SUM(E530:E533)</f>
        <v>0</v>
      </c>
      <c r="F534" s="157">
        <f t="shared" si="75"/>
        <v>96700</v>
      </c>
      <c r="G534" s="157">
        <f t="shared" si="75"/>
        <v>96700</v>
      </c>
      <c r="H534" s="157">
        <f t="shared" si="75"/>
        <v>138700</v>
      </c>
      <c r="I534" s="157">
        <f t="shared" si="75"/>
        <v>170500</v>
      </c>
      <c r="J534" s="157">
        <f t="shared" si="75"/>
        <v>173700</v>
      </c>
    </row>
    <row r="535" spans="1:10" x14ac:dyDescent="0.2">
      <c r="A535" s="156" t="s">
        <v>296</v>
      </c>
      <c r="B535" s="156"/>
      <c r="C535" s="156"/>
      <c r="D535" s="156"/>
      <c r="E535" s="156"/>
      <c r="F535" s="156"/>
      <c r="G535" s="156"/>
      <c r="H535" s="156"/>
      <c r="I535" s="156"/>
      <c r="J535" s="190"/>
    </row>
    <row r="536" spans="1:10" x14ac:dyDescent="0.2">
      <c r="A536" s="207">
        <v>222</v>
      </c>
      <c r="B536" s="129" t="s">
        <v>1428</v>
      </c>
      <c r="C536" s="129"/>
      <c r="D536" s="129"/>
      <c r="E536" s="211">
        <v>0</v>
      </c>
      <c r="F536" s="211">
        <v>15500</v>
      </c>
      <c r="G536" s="211">
        <v>15500</v>
      </c>
      <c r="H536" s="210">
        <v>0</v>
      </c>
      <c r="I536" s="211">
        <v>0</v>
      </c>
      <c r="J536" s="211">
        <v>0</v>
      </c>
    </row>
    <row r="537" spans="1:10" ht="12.75" customHeight="1" x14ac:dyDescent="0.2">
      <c r="A537" s="207">
        <v>228</v>
      </c>
      <c r="B537" s="129" t="s">
        <v>208</v>
      </c>
      <c r="C537" s="129"/>
      <c r="D537" s="129"/>
      <c r="E537" s="211">
        <v>0</v>
      </c>
      <c r="F537" s="211">
        <v>2000</v>
      </c>
      <c r="G537" s="211">
        <v>2000</v>
      </c>
      <c r="H537" s="210">
        <v>2000</v>
      </c>
      <c r="I537" s="211">
        <v>2000</v>
      </c>
      <c r="J537" s="211">
        <v>2000</v>
      </c>
    </row>
    <row r="538" spans="1:10" ht="12.75" customHeight="1" x14ac:dyDescent="0.2">
      <c r="A538" s="207">
        <v>236</v>
      </c>
      <c r="B538" s="129" t="s">
        <v>213</v>
      </c>
      <c r="C538" s="129"/>
      <c r="D538" s="129"/>
      <c r="E538" s="211">
        <v>0</v>
      </c>
      <c r="F538" s="211">
        <v>0</v>
      </c>
      <c r="G538" s="211">
        <v>0</v>
      </c>
      <c r="H538" s="210">
        <v>40000</v>
      </c>
      <c r="I538" s="211">
        <v>40000</v>
      </c>
      <c r="J538" s="211">
        <v>40000</v>
      </c>
    </row>
    <row r="539" spans="1:10" ht="14.25" customHeight="1" x14ac:dyDescent="0.2">
      <c r="A539" s="207">
        <v>275</v>
      </c>
      <c r="B539" s="129" t="s">
        <v>228</v>
      </c>
      <c r="C539" s="129"/>
      <c r="D539" s="129"/>
      <c r="E539" s="211">
        <v>0</v>
      </c>
      <c r="F539" s="211">
        <v>2100</v>
      </c>
      <c r="G539" s="211">
        <v>2100</v>
      </c>
      <c r="H539" s="210">
        <v>2100</v>
      </c>
      <c r="I539" s="211">
        <v>2100</v>
      </c>
      <c r="J539" s="211">
        <v>2100</v>
      </c>
    </row>
    <row r="540" spans="1:10" ht="14.25" customHeight="1" x14ac:dyDescent="0.2">
      <c r="A540" s="207">
        <v>280</v>
      </c>
      <c r="B540" s="129" t="s">
        <v>1429</v>
      </c>
      <c r="C540" s="129"/>
      <c r="D540" s="129"/>
      <c r="E540" s="211">
        <v>0</v>
      </c>
      <c r="F540" s="211">
        <v>60000</v>
      </c>
      <c r="G540" s="211">
        <v>36400</v>
      </c>
      <c r="H540" s="210">
        <v>30000</v>
      </c>
      <c r="I540" s="211">
        <v>30000</v>
      </c>
      <c r="J540" s="211">
        <v>30000</v>
      </c>
    </row>
    <row r="541" spans="1:10" ht="14.25" customHeight="1" x14ac:dyDescent="0.2">
      <c r="A541" s="156" t="s">
        <v>298</v>
      </c>
      <c r="B541" s="156"/>
      <c r="C541" s="156"/>
      <c r="D541" s="156"/>
      <c r="E541" s="157">
        <f t="shared" ref="E541:J541" si="76">SUM(E536:E540)</f>
        <v>0</v>
      </c>
      <c r="F541" s="157">
        <f t="shared" si="76"/>
        <v>79600</v>
      </c>
      <c r="G541" s="157">
        <f t="shared" si="76"/>
        <v>56000</v>
      </c>
      <c r="H541" s="157">
        <f t="shared" si="76"/>
        <v>74100</v>
      </c>
      <c r="I541" s="157">
        <f t="shared" si="76"/>
        <v>74100</v>
      </c>
      <c r="J541" s="157">
        <f t="shared" si="76"/>
        <v>74100</v>
      </c>
    </row>
    <row r="542" spans="1:10" ht="14.25" customHeight="1" x14ac:dyDescent="0.2">
      <c r="A542" s="159" t="s">
        <v>299</v>
      </c>
      <c r="B542" s="159"/>
      <c r="C542" s="159"/>
      <c r="D542" s="159"/>
      <c r="E542" s="160">
        <f t="shared" ref="E542:J542" si="77">SUM(E534,E541)</f>
        <v>0</v>
      </c>
      <c r="F542" s="160">
        <f t="shared" si="77"/>
        <v>176300</v>
      </c>
      <c r="G542" s="160">
        <f t="shared" si="77"/>
        <v>152700</v>
      </c>
      <c r="H542" s="160">
        <f t="shared" si="77"/>
        <v>212800</v>
      </c>
      <c r="I542" s="160">
        <f t="shared" si="77"/>
        <v>244600</v>
      </c>
      <c r="J542" s="160">
        <f t="shared" si="77"/>
        <v>247800</v>
      </c>
    </row>
    <row r="543" spans="1:10" ht="14.25" customHeight="1" x14ac:dyDescent="0.2">
      <c r="A543" s="129"/>
      <c r="B543" s="129"/>
      <c r="C543" s="129"/>
      <c r="D543" s="129"/>
      <c r="E543" s="129"/>
      <c r="F543" s="129"/>
      <c r="G543" s="129"/>
      <c r="H543" s="129"/>
      <c r="I543" s="129"/>
      <c r="J543" s="190"/>
    </row>
    <row r="544" spans="1:10" ht="12.75" customHeight="1" x14ac:dyDescent="0.2">
      <c r="A544" s="162" t="s">
        <v>15</v>
      </c>
      <c r="B544" s="162"/>
      <c r="C544" s="162"/>
      <c r="D544" s="162"/>
      <c r="E544" s="162"/>
      <c r="F544" s="162"/>
      <c r="G544" s="162"/>
      <c r="H544" s="162"/>
      <c r="I544" s="162"/>
      <c r="J544" s="162"/>
    </row>
    <row r="545" spans="1:10" ht="12.75" customHeight="1" x14ac:dyDescent="0.2">
      <c r="A545" s="131" t="s">
        <v>242</v>
      </c>
      <c r="B545" s="131"/>
      <c r="C545" s="131"/>
      <c r="D545" s="131"/>
      <c r="E545" s="218" t="s">
        <v>1419</v>
      </c>
      <c r="F545" s="218" t="s">
        <v>1420</v>
      </c>
      <c r="G545" s="218" t="s">
        <v>1421</v>
      </c>
      <c r="H545" s="218" t="s">
        <v>1422</v>
      </c>
      <c r="I545" s="218" t="s">
        <v>1423</v>
      </c>
      <c r="J545" s="218" t="s">
        <v>1424</v>
      </c>
    </row>
    <row r="546" spans="1:10" ht="12.75" customHeight="1" x14ac:dyDescent="0.2">
      <c r="A546" s="130" t="s">
        <v>243</v>
      </c>
      <c r="B546" s="130" t="s">
        <v>244</v>
      </c>
      <c r="C546" s="131" t="s">
        <v>245</v>
      </c>
      <c r="D546" s="131"/>
      <c r="E546" s="219"/>
      <c r="F546" s="219"/>
      <c r="G546" s="219"/>
      <c r="H546" s="219"/>
      <c r="I546" s="219"/>
      <c r="J546" s="219"/>
    </row>
    <row r="547" spans="1:10" ht="12.75" customHeight="1" x14ac:dyDescent="0.2">
      <c r="A547" s="163"/>
      <c r="B547" s="163"/>
      <c r="C547" s="156"/>
      <c r="D547" s="156"/>
      <c r="E547" s="158"/>
      <c r="F547" s="209"/>
      <c r="G547" s="158"/>
      <c r="H547" s="136"/>
      <c r="I547" s="158"/>
      <c r="J547" s="135"/>
    </row>
    <row r="548" spans="1:10" ht="16.899999999999999" customHeight="1" x14ac:dyDescent="0.2">
      <c r="A548" s="163"/>
      <c r="B548" s="163"/>
      <c r="C548" s="156"/>
      <c r="D548" s="156"/>
      <c r="E548" s="158"/>
      <c r="F548" s="209"/>
      <c r="G548" s="158"/>
      <c r="H548" s="136"/>
      <c r="I548" s="158"/>
      <c r="J548" s="135"/>
    </row>
    <row r="549" spans="1:10" ht="21" customHeight="1" x14ac:dyDescent="0.2">
      <c r="A549" s="137" t="s">
        <v>15</v>
      </c>
      <c r="B549" s="137"/>
      <c r="C549" s="137"/>
      <c r="D549" s="137"/>
      <c r="E549" s="138">
        <v>0</v>
      </c>
      <c r="F549" s="138">
        <v>0</v>
      </c>
      <c r="G549" s="138">
        <v>0</v>
      </c>
      <c r="H549" s="138">
        <v>0</v>
      </c>
      <c r="I549" s="138">
        <v>0</v>
      </c>
      <c r="J549" s="138">
        <v>0</v>
      </c>
    </row>
    <row r="550" spans="1:10" ht="12.75" customHeight="1" x14ac:dyDescent="0.2">
      <c r="A550" s="290"/>
      <c r="B550" s="290"/>
      <c r="C550" s="290"/>
      <c r="D550" s="290"/>
      <c r="E550" s="290"/>
      <c r="F550" s="290"/>
      <c r="G550" s="290"/>
      <c r="H550" s="290"/>
      <c r="I550" s="290"/>
      <c r="J550" s="290"/>
    </row>
    <row r="551" spans="1:10" ht="12.75" customHeight="1" x14ac:dyDescent="0.2">
      <c r="A551" s="161" t="s">
        <v>288</v>
      </c>
      <c r="B551" s="161"/>
      <c r="C551" s="161"/>
      <c r="D551" s="161"/>
      <c r="E551" s="161"/>
      <c r="F551" s="202"/>
      <c r="G551" s="202"/>
      <c r="H551" s="202"/>
      <c r="I551" s="202"/>
      <c r="J551" s="202"/>
    </row>
    <row r="552" spans="1:10" ht="12.75" customHeight="1" x14ac:dyDescent="0.2">
      <c r="A552" s="131" t="s">
        <v>300</v>
      </c>
      <c r="B552" s="131"/>
      <c r="C552" s="131"/>
      <c r="D552" s="132" t="s">
        <v>301</v>
      </c>
      <c r="E552" s="291" t="s">
        <v>302</v>
      </c>
      <c r="F552" s="292"/>
      <c r="G552" s="220"/>
      <c r="H552" s="220"/>
      <c r="I552" s="220"/>
      <c r="J552" s="221"/>
    </row>
    <row r="553" spans="1:10" ht="12.75" customHeight="1" x14ac:dyDescent="0.2">
      <c r="A553" s="134" t="str">
        <f>Establishment!D404</f>
        <v>Principal Trade &amp; Quality Infrastructure Officer</v>
      </c>
      <c r="B553" s="134"/>
      <c r="C553" s="134"/>
      <c r="D553" s="133" t="s">
        <v>1430</v>
      </c>
      <c r="E553" s="268">
        <v>1</v>
      </c>
      <c r="F553" s="475"/>
      <c r="G553" s="172"/>
      <c r="H553" s="172"/>
      <c r="I553" s="172"/>
      <c r="J553" s="173"/>
    </row>
    <row r="554" spans="1:10" ht="12.75" customHeight="1" x14ac:dyDescent="0.2">
      <c r="A554" s="134" t="str">
        <f>Establishment!D405</f>
        <v>Trade &amp; Quality Infrastructure Officer</v>
      </c>
      <c r="B554" s="134"/>
      <c r="C554" s="134"/>
      <c r="D554" s="133" t="s">
        <v>1431</v>
      </c>
      <c r="E554" s="268">
        <v>1</v>
      </c>
      <c r="F554" s="293"/>
      <c r="G554" s="171"/>
      <c r="H554" s="171"/>
      <c r="I554" s="171"/>
      <c r="J554" s="174"/>
    </row>
    <row r="555" spans="1:10" ht="12.75" customHeight="1" x14ac:dyDescent="0.2">
      <c r="A555" s="134" t="str">
        <f>Establishment!D406</f>
        <v>Clerical Officer (Snr)</v>
      </c>
      <c r="B555" s="134"/>
      <c r="C555" s="134"/>
      <c r="D555" s="476" t="s">
        <v>1432</v>
      </c>
      <c r="E555" s="268">
        <v>1</v>
      </c>
      <c r="F555" s="293"/>
      <c r="G555" s="171"/>
      <c r="H555" s="171"/>
      <c r="I555" s="171"/>
      <c r="J555" s="174"/>
    </row>
    <row r="556" spans="1:10" ht="12.75" customHeight="1" x14ac:dyDescent="0.2">
      <c r="A556" s="159" t="s">
        <v>303</v>
      </c>
      <c r="B556" s="159"/>
      <c r="C556" s="159"/>
      <c r="D556" s="159"/>
      <c r="E556" s="294">
        <f>SUM(E553:E555)</f>
        <v>3</v>
      </c>
      <c r="F556" s="295"/>
      <c r="G556" s="177"/>
      <c r="H556" s="177"/>
      <c r="I556" s="177"/>
      <c r="J556" s="178"/>
    </row>
    <row r="557" spans="1:10" ht="12.75" customHeight="1" x14ac:dyDescent="0.2">
      <c r="A557" s="129"/>
      <c r="B557" s="129"/>
      <c r="C557" s="129"/>
      <c r="D557" s="129"/>
      <c r="E557" s="129"/>
      <c r="F557" s="179"/>
      <c r="G557" s="179"/>
      <c r="H557" s="179"/>
      <c r="I557" s="179"/>
      <c r="J557" s="179"/>
    </row>
    <row r="558" spans="1:10" ht="12.75" customHeight="1" x14ac:dyDescent="0.2">
      <c r="A558" s="180" t="s">
        <v>304</v>
      </c>
      <c r="B558" s="180"/>
      <c r="C558" s="180"/>
      <c r="D558" s="180"/>
      <c r="E558" s="180"/>
      <c r="F558" s="180"/>
      <c r="G558" s="180"/>
      <c r="H558" s="180"/>
      <c r="I558" s="180"/>
      <c r="J558" s="180"/>
    </row>
    <row r="559" spans="1:10" ht="12.75" customHeight="1" x14ac:dyDescent="0.2">
      <c r="A559" s="181" t="s">
        <v>1433</v>
      </c>
      <c r="B559" s="181"/>
      <c r="C559" s="181"/>
      <c r="D559" s="181"/>
      <c r="E559" s="181"/>
      <c r="F559" s="181"/>
      <c r="G559" s="181"/>
      <c r="H559" s="181"/>
      <c r="I559" s="181"/>
      <c r="J559" s="181"/>
    </row>
    <row r="560" spans="1:10" ht="12.75" customHeight="1" x14ac:dyDescent="0.2">
      <c r="A560" s="306" t="s">
        <v>1434</v>
      </c>
      <c r="B560" s="306"/>
      <c r="C560" s="306"/>
      <c r="D560" s="306"/>
      <c r="E560" s="306"/>
      <c r="F560" s="306"/>
      <c r="G560" s="306"/>
      <c r="H560" s="306"/>
      <c r="I560" s="306"/>
      <c r="J560" s="306"/>
    </row>
    <row r="561" spans="1:10" ht="22.5" customHeight="1" x14ac:dyDescent="0.2">
      <c r="A561" s="451" t="s">
        <v>1435</v>
      </c>
      <c r="B561" s="451"/>
      <c r="C561" s="451"/>
      <c r="D561" s="451"/>
      <c r="E561" s="451"/>
      <c r="F561" s="451"/>
      <c r="G561" s="451"/>
      <c r="H561" s="451"/>
      <c r="I561" s="451"/>
      <c r="J561" s="451"/>
    </row>
    <row r="562" spans="1:10" ht="23.25" customHeight="1" x14ac:dyDescent="0.2">
      <c r="A562" s="468" t="s">
        <v>1436</v>
      </c>
      <c r="B562" s="469"/>
      <c r="C562" s="469"/>
      <c r="D562" s="469"/>
      <c r="E562" s="469"/>
      <c r="F562" s="469"/>
      <c r="G562" s="469"/>
      <c r="H562" s="469"/>
      <c r="I562" s="469"/>
      <c r="J562" s="470"/>
    </row>
    <row r="563" spans="1:10" ht="12.75" customHeight="1" x14ac:dyDescent="0.2">
      <c r="A563" s="129"/>
      <c r="B563" s="129"/>
      <c r="C563" s="129"/>
      <c r="D563" s="129"/>
      <c r="E563" s="129"/>
      <c r="F563" s="129"/>
      <c r="G563" s="129"/>
      <c r="H563" s="129"/>
      <c r="I563" s="129"/>
      <c r="J563" s="129"/>
    </row>
    <row r="564" spans="1:10" ht="12.75" customHeight="1" x14ac:dyDescent="0.2">
      <c r="A564" s="183" t="s">
        <v>415</v>
      </c>
      <c r="B564" s="183"/>
      <c r="C564" s="183"/>
      <c r="D564" s="183"/>
      <c r="E564" s="183"/>
      <c r="F564" s="183"/>
      <c r="G564" s="183"/>
      <c r="H564" s="183"/>
      <c r="I564" s="183"/>
      <c r="J564" s="183"/>
    </row>
    <row r="565" spans="1:10" ht="12.75" customHeight="1" x14ac:dyDescent="0.2">
      <c r="A565" s="451" t="s">
        <v>1437</v>
      </c>
      <c r="B565" s="451"/>
      <c r="C565" s="451"/>
      <c r="D565" s="451"/>
      <c r="E565" s="451"/>
      <c r="F565" s="451"/>
      <c r="G565" s="451"/>
      <c r="H565" s="451"/>
      <c r="I565" s="451"/>
      <c r="J565" s="451"/>
    </row>
    <row r="566" spans="1:10" ht="24" customHeight="1" x14ac:dyDescent="0.2">
      <c r="A566" s="451" t="s">
        <v>1438</v>
      </c>
      <c r="B566" s="451"/>
      <c r="C566" s="451"/>
      <c r="D566" s="451"/>
      <c r="E566" s="451"/>
      <c r="F566" s="451"/>
      <c r="G566" s="451"/>
      <c r="H566" s="451"/>
      <c r="I566" s="451"/>
      <c r="J566" s="451"/>
    </row>
    <row r="567" spans="1:10" x14ac:dyDescent="0.2">
      <c r="A567" s="129"/>
      <c r="B567" s="129"/>
      <c r="C567" s="129"/>
      <c r="D567" s="129"/>
      <c r="E567" s="129"/>
      <c r="F567" s="129"/>
      <c r="G567" s="129"/>
      <c r="H567" s="129"/>
      <c r="I567" s="129"/>
      <c r="J567" s="129"/>
    </row>
    <row r="568" spans="1:10" ht="22.5" x14ac:dyDescent="0.2">
      <c r="A568" s="180" t="s">
        <v>315</v>
      </c>
      <c r="B568" s="180"/>
      <c r="C568" s="180"/>
      <c r="D568" s="180"/>
      <c r="E568" s="180"/>
      <c r="F568" s="184" t="str">
        <f>F230</f>
        <v xml:space="preserve"> Actual 2014-2015</v>
      </c>
      <c r="G568" s="184" t="str">
        <f>G230</f>
        <v xml:space="preserve"> Estimate 2015-2016</v>
      </c>
      <c r="H568" s="184" t="str">
        <f>H230</f>
        <v xml:space="preserve"> Target 2016-2017</v>
      </c>
      <c r="I568" s="184" t="str">
        <f>I230</f>
        <v xml:space="preserve"> Target 2017-2018</v>
      </c>
      <c r="J568" s="184" t="str">
        <f>J230</f>
        <v xml:space="preserve"> Target 2018-2019</v>
      </c>
    </row>
    <row r="569" spans="1:10" x14ac:dyDescent="0.2">
      <c r="A569" s="180" t="s">
        <v>316</v>
      </c>
      <c r="B569" s="180"/>
      <c r="C569" s="180"/>
      <c r="D569" s="180"/>
      <c r="E569" s="180"/>
      <c r="F569" s="180"/>
      <c r="G569" s="180"/>
      <c r="H569" s="180"/>
      <c r="I569" s="180"/>
      <c r="J569" s="180"/>
    </row>
    <row r="570" spans="1:10" ht="14.25" customHeight="1" x14ac:dyDescent="0.2">
      <c r="A570" s="451" t="s">
        <v>1439</v>
      </c>
      <c r="B570" s="451"/>
      <c r="C570" s="451"/>
      <c r="D570" s="451"/>
      <c r="E570" s="451"/>
      <c r="F570" s="272">
        <v>1</v>
      </c>
      <c r="G570" s="191">
        <v>1</v>
      </c>
      <c r="H570" s="191">
        <v>2</v>
      </c>
      <c r="I570" s="191">
        <v>2</v>
      </c>
      <c r="J570" s="191">
        <v>2</v>
      </c>
    </row>
    <row r="571" spans="1:10" ht="14.25" customHeight="1" x14ac:dyDescent="0.2">
      <c r="A571" s="451" t="s">
        <v>1440</v>
      </c>
      <c r="B571" s="451"/>
      <c r="C571" s="451"/>
      <c r="D571" s="451"/>
      <c r="E571" s="451"/>
      <c r="F571" s="272" t="s">
        <v>480</v>
      </c>
      <c r="G571" s="191" t="s">
        <v>480</v>
      </c>
      <c r="H571" s="191">
        <v>2</v>
      </c>
      <c r="I571" s="191">
        <v>2</v>
      </c>
      <c r="J571" s="191">
        <v>2</v>
      </c>
    </row>
    <row r="572" spans="1:10" x14ac:dyDescent="0.2">
      <c r="A572" s="451" t="s">
        <v>1441</v>
      </c>
      <c r="B572" s="451"/>
      <c r="C572" s="451"/>
      <c r="D572" s="451"/>
      <c r="E572" s="451"/>
      <c r="F572" s="272">
        <v>3</v>
      </c>
      <c r="G572" s="191">
        <v>3</v>
      </c>
      <c r="H572" s="191">
        <v>3</v>
      </c>
      <c r="I572" s="191">
        <v>3</v>
      </c>
      <c r="J572" s="191">
        <v>3</v>
      </c>
    </row>
    <row r="573" spans="1:10" ht="24" customHeight="1" x14ac:dyDescent="0.2">
      <c r="A573" s="468" t="s">
        <v>1442</v>
      </c>
      <c r="B573" s="469"/>
      <c r="C573" s="469"/>
      <c r="D573" s="469"/>
      <c r="E573" s="470"/>
      <c r="F573" s="272" t="s">
        <v>480</v>
      </c>
      <c r="G573" s="191">
        <v>1</v>
      </c>
      <c r="H573" s="191">
        <v>3</v>
      </c>
      <c r="I573" s="191">
        <v>3</v>
      </c>
      <c r="J573" s="191">
        <v>3</v>
      </c>
    </row>
    <row r="574" spans="1:10" ht="14.25" customHeight="1" x14ac:dyDescent="0.2">
      <c r="A574" s="468" t="s">
        <v>1443</v>
      </c>
      <c r="B574" s="469"/>
      <c r="C574" s="469"/>
      <c r="D574" s="469"/>
      <c r="E574" s="470"/>
      <c r="F574" s="272" t="s">
        <v>480</v>
      </c>
      <c r="G574" s="191">
        <v>1</v>
      </c>
      <c r="H574" s="191">
        <v>2</v>
      </c>
      <c r="I574" s="191">
        <v>1</v>
      </c>
      <c r="J574" s="191">
        <v>1</v>
      </c>
    </row>
    <row r="575" spans="1:10" ht="21.75" customHeight="1" x14ac:dyDescent="0.2">
      <c r="A575" s="468" t="s">
        <v>1444</v>
      </c>
      <c r="B575" s="469"/>
      <c r="C575" s="469"/>
      <c r="D575" s="469"/>
      <c r="E575" s="470"/>
      <c r="F575" s="272">
        <v>5</v>
      </c>
      <c r="G575" s="191">
        <v>20</v>
      </c>
      <c r="H575" s="191">
        <v>20</v>
      </c>
      <c r="I575" s="191">
        <v>25</v>
      </c>
      <c r="J575" s="191">
        <v>20</v>
      </c>
    </row>
    <row r="576" spans="1:10" x14ac:dyDescent="0.2">
      <c r="A576" s="451"/>
      <c r="B576" s="451"/>
      <c r="C576" s="451"/>
      <c r="D576" s="451"/>
      <c r="E576" s="451"/>
      <c r="F576" s="273"/>
      <c r="G576" s="190"/>
      <c r="H576" s="190"/>
      <c r="I576" s="190"/>
      <c r="J576" s="190"/>
    </row>
    <row r="577" spans="1:10" ht="21" customHeight="1" x14ac:dyDescent="0.2">
      <c r="A577" s="180" t="s">
        <v>324</v>
      </c>
      <c r="B577" s="180"/>
      <c r="C577" s="180"/>
      <c r="D577" s="180"/>
      <c r="E577" s="180"/>
      <c r="F577" s="180"/>
      <c r="G577" s="180"/>
      <c r="H577" s="180"/>
      <c r="I577" s="180"/>
      <c r="J577" s="180"/>
    </row>
    <row r="578" spans="1:10" x14ac:dyDescent="0.2">
      <c r="A578" s="451" t="s">
        <v>1439</v>
      </c>
      <c r="B578" s="451"/>
      <c r="C578" s="451"/>
      <c r="D578" s="451"/>
      <c r="E578" s="451"/>
      <c r="F578" s="272">
        <v>1</v>
      </c>
      <c r="G578" s="191">
        <v>1</v>
      </c>
      <c r="H578" s="191">
        <v>2</v>
      </c>
      <c r="I578" s="191">
        <v>2</v>
      </c>
      <c r="J578" s="191">
        <v>2</v>
      </c>
    </row>
    <row r="579" spans="1:10" x14ac:dyDescent="0.2">
      <c r="A579" s="451" t="s">
        <v>1440</v>
      </c>
      <c r="B579" s="451"/>
      <c r="C579" s="451"/>
      <c r="D579" s="451"/>
      <c r="E579" s="451"/>
      <c r="F579" s="272" t="s">
        <v>480</v>
      </c>
      <c r="G579" s="191" t="s">
        <v>480</v>
      </c>
      <c r="H579" s="191">
        <v>2</v>
      </c>
      <c r="I579" s="191">
        <v>2</v>
      </c>
      <c r="J579" s="191">
        <v>2</v>
      </c>
    </row>
    <row r="580" spans="1:10" x14ac:dyDescent="0.2">
      <c r="A580" s="451" t="s">
        <v>1441</v>
      </c>
      <c r="B580" s="451"/>
      <c r="C580" s="451"/>
      <c r="D580" s="451"/>
      <c r="E580" s="451"/>
      <c r="F580" s="272">
        <v>3</v>
      </c>
      <c r="G580" s="191">
        <v>3</v>
      </c>
      <c r="H580" s="191">
        <v>3</v>
      </c>
      <c r="I580" s="191">
        <v>3</v>
      </c>
      <c r="J580" s="191">
        <v>3</v>
      </c>
    </row>
    <row r="581" spans="1:10" ht="22.9" customHeight="1" x14ac:dyDescent="0.2">
      <c r="A581" s="468" t="s">
        <v>1442</v>
      </c>
      <c r="B581" s="469"/>
      <c r="C581" s="469"/>
      <c r="D581" s="469"/>
      <c r="E581" s="470"/>
      <c r="F581" s="272" t="s">
        <v>480</v>
      </c>
      <c r="G581" s="191">
        <v>1</v>
      </c>
      <c r="H581" s="191">
        <v>3</v>
      </c>
      <c r="I581" s="191">
        <v>3</v>
      </c>
      <c r="J581" s="191">
        <v>3</v>
      </c>
    </row>
    <row r="582" spans="1:10" ht="14.25" customHeight="1" x14ac:dyDescent="0.2">
      <c r="A582" s="468" t="s">
        <v>1443</v>
      </c>
      <c r="B582" s="469"/>
      <c r="C582" s="469"/>
      <c r="D582" s="469"/>
      <c r="E582" s="470"/>
      <c r="F582" s="272" t="s">
        <v>480</v>
      </c>
      <c r="G582" s="191">
        <v>1</v>
      </c>
      <c r="H582" s="191">
        <v>2</v>
      </c>
      <c r="I582" s="191">
        <v>1</v>
      </c>
      <c r="J582" s="191">
        <v>1</v>
      </c>
    </row>
    <row r="583" spans="1:10" ht="22.5" customHeight="1" x14ac:dyDescent="0.2">
      <c r="A583" s="468" t="s">
        <v>1444</v>
      </c>
      <c r="B583" s="469"/>
      <c r="C583" s="469"/>
      <c r="D583" s="469"/>
      <c r="E583" s="470"/>
      <c r="F583" s="272">
        <v>5</v>
      </c>
      <c r="G583" s="191">
        <v>20</v>
      </c>
      <c r="H583" s="191">
        <v>20</v>
      </c>
      <c r="I583" s="191">
        <v>25</v>
      </c>
      <c r="J583" s="191">
        <v>20</v>
      </c>
    </row>
    <row r="584" spans="1:10" x14ac:dyDescent="0.2">
      <c r="A584" s="477"/>
      <c r="B584" s="477"/>
      <c r="C584" s="477"/>
      <c r="D584" s="477"/>
      <c r="E584" s="477"/>
      <c r="F584" s="478"/>
      <c r="G584" s="479"/>
      <c r="H584" s="479"/>
      <c r="I584" s="479"/>
      <c r="J584" s="479"/>
    </row>
    <row r="585" spans="1:10" x14ac:dyDescent="0.2">
      <c r="A585" s="222"/>
      <c r="B585" s="222"/>
      <c r="C585" s="222"/>
      <c r="D585" s="222"/>
      <c r="E585" s="274" t="s">
        <v>382</v>
      </c>
      <c r="F585" s="229"/>
      <c r="G585" s="222"/>
      <c r="H585" s="222"/>
      <c r="I585" s="222"/>
      <c r="J585" s="223" t="s">
        <v>766</v>
      </c>
    </row>
    <row r="586" spans="1:10" ht="22.15" customHeight="1" thickBot="1" x14ac:dyDescent="0.25">
      <c r="A586" s="224"/>
      <c r="B586" s="224" t="s">
        <v>188</v>
      </c>
      <c r="C586" s="225"/>
      <c r="D586" s="226"/>
      <c r="E586" s="184" t="str">
        <f t="shared" ref="E586:J586" si="78">E37</f>
        <v>Actuals           2014-2015</v>
      </c>
      <c r="F586" s="184" t="str">
        <f t="shared" si="78"/>
        <v>Approved Estimates          2015-2016</v>
      </c>
      <c r="G586" s="184" t="str">
        <f t="shared" si="78"/>
        <v>Revised Estimates                 2015-2016</v>
      </c>
      <c r="H586" s="184" t="str">
        <f t="shared" si="78"/>
        <v>Budget Estimates      2016-2017</v>
      </c>
      <c r="I586" s="184" t="str">
        <f t="shared" si="78"/>
        <v>Forward Estimates     2017-2018</v>
      </c>
      <c r="J586" s="184" t="str">
        <f t="shared" si="78"/>
        <v>Forward Estimates     2018-2019</v>
      </c>
    </row>
    <row r="587" spans="1:10" x14ac:dyDescent="0.2">
      <c r="A587" s="229" t="s">
        <v>7</v>
      </c>
      <c r="B587" s="227"/>
      <c r="C587" s="227"/>
      <c r="D587" s="227"/>
      <c r="E587" s="227"/>
      <c r="F587" s="227"/>
      <c r="G587" s="227"/>
      <c r="H587" s="227"/>
      <c r="I587" s="228"/>
      <c r="J587" s="227"/>
    </row>
    <row r="588" spans="1:10" x14ac:dyDescent="0.2">
      <c r="A588" s="222"/>
      <c r="B588" s="222" t="s">
        <v>501</v>
      </c>
      <c r="C588" s="222"/>
      <c r="D588" s="222"/>
      <c r="E588" s="231">
        <f t="shared" ref="E588:J588" si="79">E99</f>
        <v>419493</v>
      </c>
      <c r="F588" s="231">
        <f t="shared" si="79"/>
        <v>470200</v>
      </c>
      <c r="G588" s="231">
        <f t="shared" si="79"/>
        <v>456200</v>
      </c>
      <c r="H588" s="231">
        <f t="shared" si="79"/>
        <v>557100</v>
      </c>
      <c r="I588" s="231">
        <f t="shared" si="79"/>
        <v>565400</v>
      </c>
      <c r="J588" s="231">
        <f t="shared" si="79"/>
        <v>572600</v>
      </c>
    </row>
    <row r="589" spans="1:10" x14ac:dyDescent="0.2">
      <c r="A589" s="222"/>
      <c r="B589" s="222" t="s">
        <v>1268</v>
      </c>
      <c r="C589" s="222"/>
      <c r="D589" s="222"/>
      <c r="E589" s="231">
        <f t="shared" ref="E589:J589" si="80">E183</f>
        <v>989541.55</v>
      </c>
      <c r="F589" s="231">
        <f t="shared" si="80"/>
        <v>1081800</v>
      </c>
      <c r="G589" s="231">
        <f t="shared" si="80"/>
        <v>1069200</v>
      </c>
      <c r="H589" s="231">
        <f t="shared" si="80"/>
        <v>981900</v>
      </c>
      <c r="I589" s="231">
        <f t="shared" si="80"/>
        <v>1007800</v>
      </c>
      <c r="J589" s="231">
        <f t="shared" si="80"/>
        <v>1019500</v>
      </c>
    </row>
    <row r="590" spans="1:10" x14ac:dyDescent="0.2">
      <c r="A590" s="222"/>
      <c r="B590" s="222" t="s">
        <v>1269</v>
      </c>
      <c r="C590" s="222"/>
      <c r="D590" s="222"/>
      <c r="E590" s="231">
        <f t="shared" ref="E590:J590" si="81">E259</f>
        <v>401597.5</v>
      </c>
      <c r="F590" s="231">
        <f t="shared" si="81"/>
        <v>583600</v>
      </c>
      <c r="G590" s="231">
        <f t="shared" si="81"/>
        <v>563600</v>
      </c>
      <c r="H590" s="231">
        <f t="shared" si="81"/>
        <v>546100</v>
      </c>
      <c r="I590" s="231">
        <f t="shared" si="81"/>
        <v>614400</v>
      </c>
      <c r="J590" s="231">
        <f t="shared" si="81"/>
        <v>625600</v>
      </c>
    </row>
    <row r="591" spans="1:10" x14ac:dyDescent="0.2">
      <c r="A591" s="222"/>
      <c r="B591" s="222" t="s">
        <v>1270</v>
      </c>
      <c r="C591" s="222"/>
      <c r="D591" s="222"/>
      <c r="E591" s="231">
        <f t="shared" ref="E591:J591" si="82">E328</f>
        <v>412865.9</v>
      </c>
      <c r="F591" s="231">
        <f t="shared" si="82"/>
        <v>506800</v>
      </c>
      <c r="G591" s="231">
        <f t="shared" si="82"/>
        <v>506800</v>
      </c>
      <c r="H591" s="231">
        <f t="shared" si="82"/>
        <v>529600</v>
      </c>
      <c r="I591" s="231">
        <f t="shared" si="82"/>
        <v>559000</v>
      </c>
      <c r="J591" s="231">
        <f t="shared" si="82"/>
        <v>568300</v>
      </c>
    </row>
    <row r="592" spans="1:10" x14ac:dyDescent="0.2">
      <c r="A592" s="233"/>
      <c r="B592" s="222" t="s">
        <v>1271</v>
      </c>
      <c r="C592" s="222"/>
      <c r="D592" s="222"/>
      <c r="E592" s="231">
        <f t="shared" ref="E592:J592" si="83">E396</f>
        <v>538192</v>
      </c>
      <c r="F592" s="231">
        <f t="shared" si="83"/>
        <v>577400</v>
      </c>
      <c r="G592" s="231">
        <f t="shared" si="83"/>
        <v>577400</v>
      </c>
      <c r="H592" s="231">
        <f t="shared" si="83"/>
        <v>579600</v>
      </c>
      <c r="I592" s="231">
        <f t="shared" si="83"/>
        <v>644400</v>
      </c>
      <c r="J592" s="231">
        <f t="shared" si="83"/>
        <v>650200</v>
      </c>
    </row>
    <row r="593" spans="1:10" x14ac:dyDescent="0.2">
      <c r="A593" s="222"/>
      <c r="B593" s="222" t="s">
        <v>1272</v>
      </c>
      <c r="C593" s="222"/>
      <c r="D593" s="222"/>
      <c r="E593" s="231">
        <f t="shared" ref="E593:J593" si="84">E463</f>
        <v>254676</v>
      </c>
      <c r="F593" s="231">
        <f t="shared" si="84"/>
        <v>299100</v>
      </c>
      <c r="G593" s="231">
        <f t="shared" si="84"/>
        <v>299100</v>
      </c>
      <c r="H593" s="231">
        <f t="shared" si="84"/>
        <v>300700</v>
      </c>
      <c r="I593" s="231">
        <f t="shared" si="84"/>
        <v>324400</v>
      </c>
      <c r="J593" s="231">
        <f t="shared" si="84"/>
        <v>329800</v>
      </c>
    </row>
    <row r="594" spans="1:10" x14ac:dyDescent="0.2">
      <c r="A594" s="233"/>
      <c r="B594" s="222" t="s">
        <v>1273</v>
      </c>
      <c r="C594" s="222"/>
      <c r="D594" s="222"/>
      <c r="E594" s="231">
        <f t="shared" ref="E594:J594" si="85">E530</f>
        <v>0</v>
      </c>
      <c r="F594" s="231">
        <f t="shared" si="85"/>
        <v>87100</v>
      </c>
      <c r="G594" s="231">
        <f t="shared" si="85"/>
        <v>87100</v>
      </c>
      <c r="H594" s="231">
        <f t="shared" si="85"/>
        <v>118700</v>
      </c>
      <c r="I594" s="231">
        <f t="shared" si="85"/>
        <v>150500</v>
      </c>
      <c r="J594" s="231">
        <f t="shared" si="85"/>
        <v>153700</v>
      </c>
    </row>
    <row r="595" spans="1:10" ht="15" thickBot="1" x14ac:dyDescent="0.25">
      <c r="A595" s="222"/>
      <c r="B595" s="222"/>
      <c r="C595" s="229" t="s">
        <v>385</v>
      </c>
      <c r="D595" s="235"/>
      <c r="E595" s="236">
        <f t="shared" ref="E595:J595" si="86">SUM(E588:E594)</f>
        <v>3016365.95</v>
      </c>
      <c r="F595" s="236">
        <f t="shared" si="86"/>
        <v>3606000</v>
      </c>
      <c r="G595" s="236">
        <f t="shared" si="86"/>
        <v>3559400</v>
      </c>
      <c r="H595" s="236">
        <f t="shared" si="86"/>
        <v>3613700</v>
      </c>
      <c r="I595" s="236">
        <f t="shared" si="86"/>
        <v>3865900</v>
      </c>
      <c r="J595" s="236">
        <f t="shared" si="86"/>
        <v>3919700</v>
      </c>
    </row>
    <row r="596" spans="1:10" x14ac:dyDescent="0.2">
      <c r="A596" s="237" t="s">
        <v>196</v>
      </c>
      <c r="B596" s="237"/>
      <c r="C596" s="233"/>
      <c r="D596" s="238"/>
      <c r="E596" s="242"/>
      <c r="F596" s="242"/>
      <c r="G596" s="242"/>
      <c r="H596" s="242"/>
      <c r="I596" s="242"/>
      <c r="J596" s="242"/>
    </row>
    <row r="597" spans="1:10" x14ac:dyDescent="0.2">
      <c r="A597" s="222"/>
      <c r="B597" s="222" t="s">
        <v>501</v>
      </c>
      <c r="C597" s="222"/>
      <c r="D597" s="222"/>
      <c r="E597" s="231">
        <f t="shared" ref="E597:J597" si="87">E100</f>
        <v>15506.4</v>
      </c>
      <c r="F597" s="231">
        <f t="shared" si="87"/>
        <v>15600</v>
      </c>
      <c r="G597" s="231">
        <f t="shared" si="87"/>
        <v>17400</v>
      </c>
      <c r="H597" s="231">
        <f t="shared" si="87"/>
        <v>19200</v>
      </c>
      <c r="I597" s="231">
        <f t="shared" si="87"/>
        <v>19200</v>
      </c>
      <c r="J597" s="231">
        <f t="shared" si="87"/>
        <v>19200</v>
      </c>
    </row>
    <row r="598" spans="1:10" x14ac:dyDescent="0.2">
      <c r="A598" s="222"/>
      <c r="B598" s="222" t="s">
        <v>1268</v>
      </c>
      <c r="C598" s="222"/>
      <c r="D598" s="222"/>
      <c r="E598" s="231">
        <f t="shared" ref="E598:J598" si="88">E184</f>
        <v>0</v>
      </c>
      <c r="F598" s="231">
        <f t="shared" si="88"/>
        <v>0</v>
      </c>
      <c r="G598" s="231">
        <f t="shared" si="88"/>
        <v>0</v>
      </c>
      <c r="H598" s="231">
        <f t="shared" si="88"/>
        <v>0</v>
      </c>
      <c r="I598" s="231">
        <f t="shared" si="88"/>
        <v>0</v>
      </c>
      <c r="J598" s="231">
        <f t="shared" si="88"/>
        <v>0</v>
      </c>
    </row>
    <row r="599" spans="1:10" x14ac:dyDescent="0.2">
      <c r="A599" s="222"/>
      <c r="B599" s="222" t="s">
        <v>1269</v>
      </c>
      <c r="C599" s="222"/>
      <c r="D599" s="222"/>
      <c r="E599" s="231">
        <f t="shared" ref="E599:J599" si="89">E260</f>
        <v>0</v>
      </c>
      <c r="F599" s="231">
        <f t="shared" si="89"/>
        <v>0</v>
      </c>
      <c r="G599" s="231">
        <f t="shared" si="89"/>
        <v>0</v>
      </c>
      <c r="H599" s="231">
        <f t="shared" si="89"/>
        <v>0</v>
      </c>
      <c r="I599" s="231">
        <f t="shared" si="89"/>
        <v>0</v>
      </c>
      <c r="J599" s="231">
        <f t="shared" si="89"/>
        <v>0</v>
      </c>
    </row>
    <row r="600" spans="1:10" x14ac:dyDescent="0.2">
      <c r="A600" s="222"/>
      <c r="B600" s="222" t="s">
        <v>1270</v>
      </c>
      <c r="C600" s="222"/>
      <c r="D600" s="222"/>
      <c r="E600" s="231">
        <f t="shared" ref="E600:J600" si="90">E329</f>
        <v>0</v>
      </c>
      <c r="F600" s="231">
        <f t="shared" si="90"/>
        <v>0</v>
      </c>
      <c r="G600" s="231">
        <f t="shared" si="90"/>
        <v>0</v>
      </c>
      <c r="H600" s="231">
        <f t="shared" si="90"/>
        <v>0</v>
      </c>
      <c r="I600" s="231">
        <f t="shared" si="90"/>
        <v>0</v>
      </c>
      <c r="J600" s="231">
        <f t="shared" si="90"/>
        <v>0</v>
      </c>
    </row>
    <row r="601" spans="1:10" x14ac:dyDescent="0.2">
      <c r="A601" s="222"/>
      <c r="B601" s="222" t="s">
        <v>1271</v>
      </c>
      <c r="C601" s="222"/>
      <c r="D601" s="222"/>
      <c r="E601" s="231">
        <f t="shared" ref="E601:J601" si="91">E397</f>
        <v>0</v>
      </c>
      <c r="F601" s="231">
        <f t="shared" si="91"/>
        <v>0</v>
      </c>
      <c r="G601" s="231">
        <f t="shared" si="91"/>
        <v>0</v>
      </c>
      <c r="H601" s="231">
        <f t="shared" si="91"/>
        <v>0</v>
      </c>
      <c r="I601" s="231">
        <f t="shared" si="91"/>
        <v>0</v>
      </c>
      <c r="J601" s="231">
        <f t="shared" si="91"/>
        <v>0</v>
      </c>
    </row>
    <row r="602" spans="1:10" x14ac:dyDescent="0.2">
      <c r="A602" s="222"/>
      <c r="B602" s="222" t="s">
        <v>1272</v>
      </c>
      <c r="C602" s="222"/>
      <c r="D602" s="222"/>
      <c r="E602" s="231">
        <f t="shared" ref="E602:J602" si="92">E464</f>
        <v>0</v>
      </c>
      <c r="F602" s="231">
        <f t="shared" si="92"/>
        <v>0</v>
      </c>
      <c r="G602" s="231">
        <f t="shared" si="92"/>
        <v>0</v>
      </c>
      <c r="H602" s="231">
        <f t="shared" si="92"/>
        <v>0</v>
      </c>
      <c r="I602" s="231">
        <f t="shared" si="92"/>
        <v>0</v>
      </c>
      <c r="J602" s="231">
        <f t="shared" si="92"/>
        <v>0</v>
      </c>
    </row>
    <row r="603" spans="1:10" x14ac:dyDescent="0.2">
      <c r="A603" s="233"/>
      <c r="B603" s="222" t="s">
        <v>1273</v>
      </c>
      <c r="C603" s="222"/>
      <c r="D603" s="222"/>
      <c r="E603" s="231">
        <f t="shared" ref="E603:J603" si="93">E531</f>
        <v>0</v>
      </c>
      <c r="F603" s="231">
        <f t="shared" si="93"/>
        <v>0</v>
      </c>
      <c r="G603" s="231">
        <f t="shared" si="93"/>
        <v>0</v>
      </c>
      <c r="H603" s="231">
        <f t="shared" si="93"/>
        <v>0</v>
      </c>
      <c r="I603" s="231">
        <f t="shared" si="93"/>
        <v>0</v>
      </c>
      <c r="J603" s="231">
        <f t="shared" si="93"/>
        <v>0</v>
      </c>
    </row>
    <row r="604" spans="1:10" ht="15" thickBot="1" x14ac:dyDescent="0.25">
      <c r="A604" s="229"/>
      <c r="B604" s="229"/>
      <c r="C604" s="229" t="s">
        <v>386</v>
      </c>
      <c r="D604" s="239"/>
      <c r="E604" s="236">
        <f t="shared" ref="E604:J604" si="94">SUM(E597:E603)</f>
        <v>15506.4</v>
      </c>
      <c r="F604" s="236">
        <f t="shared" si="94"/>
        <v>15600</v>
      </c>
      <c r="G604" s="236">
        <f t="shared" si="94"/>
        <v>17400</v>
      </c>
      <c r="H604" s="236">
        <f t="shared" si="94"/>
        <v>19200</v>
      </c>
      <c r="I604" s="236">
        <f t="shared" si="94"/>
        <v>19200</v>
      </c>
      <c r="J604" s="236">
        <f t="shared" si="94"/>
        <v>19200</v>
      </c>
    </row>
    <row r="605" spans="1:10" x14ac:dyDescent="0.2">
      <c r="A605" s="229" t="s">
        <v>387</v>
      </c>
      <c r="B605" s="222"/>
      <c r="C605" s="222"/>
      <c r="D605" s="240"/>
      <c r="E605" s="241"/>
      <c r="F605" s="241"/>
      <c r="G605" s="241"/>
      <c r="H605" s="241"/>
      <c r="I605" s="241"/>
      <c r="J605" s="241"/>
    </row>
    <row r="606" spans="1:10" x14ac:dyDescent="0.2">
      <c r="A606" s="222"/>
      <c r="B606" s="222" t="s">
        <v>501</v>
      </c>
      <c r="C606" s="222"/>
      <c r="D606" s="222"/>
      <c r="E606" s="231">
        <f t="shared" ref="E606:J606" si="95">E101</f>
        <v>144846.66</v>
      </c>
      <c r="F606" s="231">
        <f t="shared" si="95"/>
        <v>159200</v>
      </c>
      <c r="G606" s="231">
        <f t="shared" si="95"/>
        <v>159200</v>
      </c>
      <c r="H606" s="231">
        <f t="shared" si="95"/>
        <v>182900</v>
      </c>
      <c r="I606" s="231">
        <f t="shared" si="95"/>
        <v>182900</v>
      </c>
      <c r="J606" s="231">
        <f t="shared" si="95"/>
        <v>182900</v>
      </c>
    </row>
    <row r="607" spans="1:10" x14ac:dyDescent="0.2">
      <c r="A607" s="222"/>
      <c r="B607" s="222" t="s">
        <v>1268</v>
      </c>
      <c r="C607" s="222"/>
      <c r="D607" s="222"/>
      <c r="E607" s="231">
        <f t="shared" ref="E607:J607" si="96">E185</f>
        <v>107060</v>
      </c>
      <c r="F607" s="231">
        <f t="shared" si="96"/>
        <v>109100</v>
      </c>
      <c r="G607" s="231">
        <f t="shared" si="96"/>
        <v>109100</v>
      </c>
      <c r="H607" s="231">
        <f t="shared" si="96"/>
        <v>160100</v>
      </c>
      <c r="I607" s="231">
        <f t="shared" si="96"/>
        <v>162500</v>
      </c>
      <c r="J607" s="231">
        <f t="shared" si="96"/>
        <v>162500</v>
      </c>
    </row>
    <row r="608" spans="1:10" x14ac:dyDescent="0.2">
      <c r="A608" s="222"/>
      <c r="B608" s="222" t="s">
        <v>1269</v>
      </c>
      <c r="C608" s="222"/>
      <c r="D608" s="222"/>
      <c r="E608" s="231">
        <f t="shared" ref="E608:J608" si="97">E261</f>
        <v>69694.94</v>
      </c>
      <c r="F608" s="231">
        <f t="shared" si="97"/>
        <v>141600</v>
      </c>
      <c r="G608" s="231">
        <f t="shared" si="97"/>
        <v>131100</v>
      </c>
      <c r="H608" s="231">
        <f t="shared" si="97"/>
        <v>100700</v>
      </c>
      <c r="I608" s="231">
        <f t="shared" si="97"/>
        <v>100700</v>
      </c>
      <c r="J608" s="231">
        <f t="shared" si="97"/>
        <v>114600</v>
      </c>
    </row>
    <row r="609" spans="1:10" x14ac:dyDescent="0.2">
      <c r="A609" s="222"/>
      <c r="B609" s="222" t="s">
        <v>1270</v>
      </c>
      <c r="C609" s="222"/>
      <c r="D609" s="222"/>
      <c r="E609" s="231">
        <f t="shared" ref="E609:J609" si="98">E330</f>
        <v>57625.4</v>
      </c>
      <c r="F609" s="231">
        <f t="shared" si="98"/>
        <v>64200</v>
      </c>
      <c r="G609" s="231">
        <f t="shared" si="98"/>
        <v>64200</v>
      </c>
      <c r="H609" s="231">
        <f t="shared" si="98"/>
        <v>70800</v>
      </c>
      <c r="I609" s="231">
        <f t="shared" si="98"/>
        <v>70800</v>
      </c>
      <c r="J609" s="231">
        <f t="shared" si="98"/>
        <v>70800</v>
      </c>
    </row>
    <row r="610" spans="1:10" x14ac:dyDescent="0.2">
      <c r="A610" s="222"/>
      <c r="B610" s="222" t="s">
        <v>1271</v>
      </c>
      <c r="C610" s="222"/>
      <c r="D610" s="222"/>
      <c r="E610" s="231">
        <f t="shared" ref="E610:J610" si="99">E398</f>
        <v>47940</v>
      </c>
      <c r="F610" s="231">
        <f t="shared" si="99"/>
        <v>55400</v>
      </c>
      <c r="G610" s="231">
        <f t="shared" si="99"/>
        <v>55400</v>
      </c>
      <c r="H610" s="231">
        <f t="shared" si="99"/>
        <v>50400</v>
      </c>
      <c r="I610" s="231">
        <f t="shared" si="99"/>
        <v>50400</v>
      </c>
      <c r="J610" s="231">
        <f t="shared" si="99"/>
        <v>23200</v>
      </c>
    </row>
    <row r="611" spans="1:10" x14ac:dyDescent="0.2">
      <c r="A611" s="222"/>
      <c r="B611" s="222" t="s">
        <v>1272</v>
      </c>
      <c r="C611" s="222"/>
      <c r="D611" s="222"/>
      <c r="E611" s="231">
        <f t="shared" ref="E611:J611" si="100">E465</f>
        <v>23494</v>
      </c>
      <c r="F611" s="231">
        <f t="shared" si="100"/>
        <v>43700</v>
      </c>
      <c r="G611" s="231">
        <f t="shared" si="100"/>
        <v>43700</v>
      </c>
      <c r="H611" s="231">
        <f t="shared" si="100"/>
        <v>53300</v>
      </c>
      <c r="I611" s="231">
        <f t="shared" si="100"/>
        <v>58400</v>
      </c>
      <c r="J611" s="231">
        <f t="shared" si="100"/>
        <v>58400</v>
      </c>
    </row>
    <row r="612" spans="1:10" x14ac:dyDescent="0.2">
      <c r="A612" s="222"/>
      <c r="B612" s="222" t="s">
        <v>1273</v>
      </c>
      <c r="C612" s="222"/>
      <c r="D612" s="222"/>
      <c r="E612" s="231">
        <f t="shared" ref="E612:J612" si="101">E532</f>
        <v>0</v>
      </c>
      <c r="F612" s="231">
        <f t="shared" si="101"/>
        <v>9600</v>
      </c>
      <c r="G612" s="231">
        <f t="shared" si="101"/>
        <v>9600</v>
      </c>
      <c r="H612" s="231">
        <f t="shared" si="101"/>
        <v>20000</v>
      </c>
      <c r="I612" s="231">
        <f t="shared" si="101"/>
        <v>20000</v>
      </c>
      <c r="J612" s="231">
        <f t="shared" si="101"/>
        <v>20000</v>
      </c>
    </row>
    <row r="613" spans="1:10" ht="15" thickBot="1" x14ac:dyDescent="0.25">
      <c r="A613" s="222"/>
      <c r="B613" s="222"/>
      <c r="C613" s="229" t="s">
        <v>388</v>
      </c>
      <c r="D613" s="240"/>
      <c r="E613" s="236">
        <f t="shared" ref="E613:J613" si="102">SUM(E606:E612)</f>
        <v>450661</v>
      </c>
      <c r="F613" s="236">
        <f t="shared" si="102"/>
        <v>582800</v>
      </c>
      <c r="G613" s="236">
        <f t="shared" si="102"/>
        <v>572300</v>
      </c>
      <c r="H613" s="236">
        <f t="shared" si="102"/>
        <v>638200</v>
      </c>
      <c r="I613" s="236">
        <f t="shared" si="102"/>
        <v>645700</v>
      </c>
      <c r="J613" s="236">
        <f t="shared" si="102"/>
        <v>632400</v>
      </c>
    </row>
    <row r="614" spans="1:10" x14ac:dyDescent="0.2">
      <c r="A614" s="229" t="s">
        <v>198</v>
      </c>
      <c r="B614" s="229"/>
      <c r="C614" s="222"/>
      <c r="D614" s="240"/>
      <c r="E614" s="242"/>
      <c r="F614" s="242"/>
      <c r="G614" s="242"/>
      <c r="H614" s="242"/>
      <c r="I614" s="242"/>
      <c r="J614" s="242"/>
    </row>
    <row r="615" spans="1:10" x14ac:dyDescent="0.2">
      <c r="A615" s="222"/>
      <c r="B615" s="222" t="s">
        <v>501</v>
      </c>
      <c r="C615" s="222"/>
      <c r="D615" s="222"/>
      <c r="E615" s="231">
        <f t="shared" ref="E615:J615" si="103">E102</f>
        <v>0</v>
      </c>
      <c r="F615" s="231">
        <f t="shared" si="103"/>
        <v>2800</v>
      </c>
      <c r="G615" s="231">
        <f t="shared" si="103"/>
        <v>6400</v>
      </c>
      <c r="H615" s="231">
        <f t="shared" si="103"/>
        <v>6600</v>
      </c>
      <c r="I615" s="231">
        <f t="shared" si="103"/>
        <v>6700</v>
      </c>
      <c r="J615" s="231">
        <f t="shared" si="103"/>
        <v>6900</v>
      </c>
    </row>
    <row r="616" spans="1:10" x14ac:dyDescent="0.2">
      <c r="A616" s="222"/>
      <c r="B616" s="222" t="s">
        <v>1268</v>
      </c>
      <c r="C616" s="222"/>
      <c r="D616" s="222"/>
      <c r="E616" s="231">
        <f t="shared" ref="E616:J616" si="104">E186</f>
        <v>0</v>
      </c>
      <c r="F616" s="231">
        <f t="shared" si="104"/>
        <v>30800</v>
      </c>
      <c r="G616" s="231">
        <f t="shared" si="104"/>
        <v>32800</v>
      </c>
      <c r="H616" s="231">
        <f t="shared" si="104"/>
        <v>0</v>
      </c>
      <c r="I616" s="231">
        <f t="shared" si="104"/>
        <v>16200</v>
      </c>
      <c r="J616" s="231">
        <f t="shared" si="104"/>
        <v>0</v>
      </c>
    </row>
    <row r="617" spans="1:10" x14ac:dyDescent="0.2">
      <c r="A617" s="222"/>
      <c r="B617" s="222" t="s">
        <v>1269</v>
      </c>
      <c r="C617" s="222"/>
      <c r="D617" s="222"/>
      <c r="E617" s="231">
        <f t="shared" ref="E617:J617" si="105">E262</f>
        <v>0</v>
      </c>
      <c r="F617" s="231">
        <f t="shared" si="105"/>
        <v>0</v>
      </c>
      <c r="G617" s="231">
        <f t="shared" si="105"/>
        <v>0</v>
      </c>
      <c r="H617" s="231">
        <f t="shared" si="105"/>
        <v>0</v>
      </c>
      <c r="I617" s="231">
        <f t="shared" si="105"/>
        <v>14800</v>
      </c>
      <c r="J617" s="231">
        <f t="shared" si="105"/>
        <v>0</v>
      </c>
    </row>
    <row r="618" spans="1:10" x14ac:dyDescent="0.2">
      <c r="A618" s="222"/>
      <c r="B618" s="222" t="s">
        <v>1270</v>
      </c>
      <c r="C618" s="222"/>
      <c r="D618" s="222"/>
      <c r="E618" s="231">
        <f t="shared" ref="E618:J618" si="106">E331</f>
        <v>0</v>
      </c>
      <c r="F618" s="231">
        <f t="shared" si="106"/>
        <v>0</v>
      </c>
      <c r="G618" s="231">
        <f t="shared" si="106"/>
        <v>0</v>
      </c>
      <c r="H618" s="231">
        <f t="shared" si="106"/>
        <v>6400</v>
      </c>
      <c r="I618" s="231">
        <f t="shared" si="106"/>
        <v>0</v>
      </c>
      <c r="J618" s="231">
        <f t="shared" si="106"/>
        <v>0</v>
      </c>
    </row>
    <row r="619" spans="1:10" x14ac:dyDescent="0.2">
      <c r="A619" s="222"/>
      <c r="B619" s="222" t="s">
        <v>1271</v>
      </c>
      <c r="C619" s="222"/>
      <c r="D619" s="222"/>
      <c r="E619" s="231">
        <f t="shared" ref="E619:J619" si="107">E399</f>
        <v>18285</v>
      </c>
      <c r="F619" s="231">
        <f t="shared" si="107"/>
        <v>0</v>
      </c>
      <c r="G619" s="231">
        <f t="shared" si="107"/>
        <v>0</v>
      </c>
      <c r="H619" s="231">
        <f t="shared" si="107"/>
        <v>23200</v>
      </c>
      <c r="I619" s="231">
        <f t="shared" si="107"/>
        <v>9200</v>
      </c>
      <c r="J619" s="231">
        <f t="shared" si="107"/>
        <v>0</v>
      </c>
    </row>
    <row r="620" spans="1:10" x14ac:dyDescent="0.2">
      <c r="A620" s="222"/>
      <c r="B620" s="222" t="s">
        <v>1272</v>
      </c>
      <c r="C620" s="222"/>
      <c r="D620" s="222"/>
      <c r="E620" s="231">
        <f t="shared" ref="E620:J620" si="108">E466</f>
        <v>0</v>
      </c>
      <c r="F620" s="231">
        <f t="shared" si="108"/>
        <v>0</v>
      </c>
      <c r="G620" s="231">
        <f t="shared" si="108"/>
        <v>0</v>
      </c>
      <c r="H620" s="231">
        <f t="shared" si="108"/>
        <v>0</v>
      </c>
      <c r="I620" s="231">
        <f t="shared" si="108"/>
        <v>0</v>
      </c>
      <c r="J620" s="231">
        <f t="shared" si="108"/>
        <v>0</v>
      </c>
    </row>
    <row r="621" spans="1:10" x14ac:dyDescent="0.2">
      <c r="A621" s="222"/>
      <c r="B621" s="222" t="s">
        <v>1273</v>
      </c>
      <c r="C621" s="222"/>
      <c r="D621" s="222"/>
      <c r="E621" s="231">
        <f t="shared" ref="E621:J621" si="109">E533</f>
        <v>0</v>
      </c>
      <c r="F621" s="231">
        <f t="shared" si="109"/>
        <v>0</v>
      </c>
      <c r="G621" s="231">
        <f t="shared" si="109"/>
        <v>0</v>
      </c>
      <c r="H621" s="231">
        <f t="shared" si="109"/>
        <v>0</v>
      </c>
      <c r="I621" s="231">
        <f t="shared" si="109"/>
        <v>0</v>
      </c>
      <c r="J621" s="231">
        <f t="shared" si="109"/>
        <v>0</v>
      </c>
    </row>
    <row r="622" spans="1:10" ht="15" thickBot="1" x14ac:dyDescent="0.25">
      <c r="A622" s="222"/>
      <c r="B622" s="222"/>
      <c r="C622" s="229" t="s">
        <v>389</v>
      </c>
      <c r="D622" s="240"/>
      <c r="E622" s="236">
        <f t="shared" ref="E622:J622" si="110">SUM(E615:E621)</f>
        <v>18285</v>
      </c>
      <c r="F622" s="236">
        <f t="shared" si="110"/>
        <v>33600</v>
      </c>
      <c r="G622" s="236">
        <f t="shared" si="110"/>
        <v>39200</v>
      </c>
      <c r="H622" s="236">
        <f t="shared" si="110"/>
        <v>36200</v>
      </c>
      <c r="I622" s="236">
        <f t="shared" si="110"/>
        <v>46900</v>
      </c>
      <c r="J622" s="236">
        <f t="shared" si="110"/>
        <v>6900</v>
      </c>
    </row>
    <row r="623" spans="1:10" x14ac:dyDescent="0.2">
      <c r="A623" s="243" t="s">
        <v>296</v>
      </c>
      <c r="B623" s="229"/>
      <c r="C623" s="222"/>
      <c r="D623" s="240"/>
      <c r="E623" s="242"/>
      <c r="F623" s="242"/>
      <c r="G623" s="242"/>
      <c r="H623" s="242"/>
      <c r="I623" s="242"/>
      <c r="J623" s="242"/>
    </row>
    <row r="624" spans="1:10" x14ac:dyDescent="0.2">
      <c r="A624" s="233"/>
      <c r="B624" s="222" t="s">
        <v>501</v>
      </c>
      <c r="C624" s="222"/>
      <c r="D624" s="222"/>
      <c r="E624" s="231">
        <f t="shared" ref="E624:J624" si="111">E117</f>
        <v>522798.19</v>
      </c>
      <c r="F624" s="231">
        <f t="shared" si="111"/>
        <v>667900</v>
      </c>
      <c r="G624" s="231">
        <f t="shared" si="111"/>
        <v>576400</v>
      </c>
      <c r="H624" s="231">
        <f t="shared" si="111"/>
        <v>895300</v>
      </c>
      <c r="I624" s="231">
        <f t="shared" si="111"/>
        <v>895300</v>
      </c>
      <c r="J624" s="231">
        <f t="shared" si="111"/>
        <v>895300</v>
      </c>
    </row>
    <row r="625" spans="1:10" x14ac:dyDescent="0.2">
      <c r="A625" s="233"/>
      <c r="B625" s="222" t="s">
        <v>1268</v>
      </c>
      <c r="C625" s="222"/>
      <c r="D625" s="222"/>
      <c r="E625" s="231">
        <f t="shared" ref="E625:J625" si="112">E195</f>
        <v>356923.99</v>
      </c>
      <c r="F625" s="231">
        <f t="shared" si="112"/>
        <v>480000</v>
      </c>
      <c r="G625" s="231">
        <f t="shared" si="112"/>
        <v>404700</v>
      </c>
      <c r="H625" s="231">
        <f t="shared" si="112"/>
        <v>536000</v>
      </c>
      <c r="I625" s="231">
        <f t="shared" si="112"/>
        <v>511000</v>
      </c>
      <c r="J625" s="231">
        <f t="shared" si="112"/>
        <v>511000</v>
      </c>
    </row>
    <row r="626" spans="1:10" x14ac:dyDescent="0.2">
      <c r="A626" s="233"/>
      <c r="B626" s="222" t="s">
        <v>1269</v>
      </c>
      <c r="C626" s="222"/>
      <c r="D626" s="222"/>
      <c r="E626" s="231">
        <f t="shared" ref="E626:J626" si="113">E272</f>
        <v>36728.89</v>
      </c>
      <c r="F626" s="231">
        <f t="shared" si="113"/>
        <v>40400</v>
      </c>
      <c r="G626" s="231">
        <f t="shared" si="113"/>
        <v>40400</v>
      </c>
      <c r="H626" s="231">
        <f t="shared" si="113"/>
        <v>55300</v>
      </c>
      <c r="I626" s="231">
        <f t="shared" si="113"/>
        <v>55300</v>
      </c>
      <c r="J626" s="231">
        <f t="shared" si="113"/>
        <v>55300</v>
      </c>
    </row>
    <row r="627" spans="1:10" x14ac:dyDescent="0.2">
      <c r="A627" s="233"/>
      <c r="B627" s="222" t="s">
        <v>1270</v>
      </c>
      <c r="C627" s="222"/>
      <c r="D627" s="222"/>
      <c r="E627" s="231">
        <f t="shared" ref="E627:J627" si="114">E340</f>
        <v>15451.79</v>
      </c>
      <c r="F627" s="231">
        <f t="shared" si="114"/>
        <v>23000</v>
      </c>
      <c r="G627" s="231">
        <f t="shared" si="114"/>
        <v>20000</v>
      </c>
      <c r="H627" s="231">
        <f t="shared" si="114"/>
        <v>44200</v>
      </c>
      <c r="I627" s="231">
        <f t="shared" si="114"/>
        <v>44200</v>
      </c>
      <c r="J627" s="231">
        <f t="shared" si="114"/>
        <v>44200</v>
      </c>
    </row>
    <row r="628" spans="1:10" x14ac:dyDescent="0.2">
      <c r="A628" s="222"/>
      <c r="B628" s="222" t="s">
        <v>1271</v>
      </c>
      <c r="C628" s="222"/>
      <c r="D628" s="222"/>
      <c r="E628" s="231">
        <f t="shared" ref="E628:J628" si="115">E408</f>
        <v>284394.43999999994</v>
      </c>
      <c r="F628" s="231">
        <f t="shared" si="115"/>
        <v>237100</v>
      </c>
      <c r="G628" s="231">
        <f t="shared" si="115"/>
        <v>237100</v>
      </c>
      <c r="H628" s="231">
        <f t="shared" si="115"/>
        <v>293100</v>
      </c>
      <c r="I628" s="231">
        <f t="shared" si="115"/>
        <v>279100</v>
      </c>
      <c r="J628" s="231">
        <f t="shared" si="115"/>
        <v>279100</v>
      </c>
    </row>
    <row r="629" spans="1:10" x14ac:dyDescent="0.2">
      <c r="A629" s="233"/>
      <c r="B629" s="222" t="s">
        <v>1272</v>
      </c>
      <c r="C629" s="222"/>
      <c r="D629" s="222"/>
      <c r="E629" s="231">
        <f t="shared" ref="E629:J629" si="116">E474</f>
        <v>131659</v>
      </c>
      <c r="F629" s="231">
        <f t="shared" si="116"/>
        <v>237800</v>
      </c>
      <c r="G629" s="231">
        <f t="shared" si="116"/>
        <v>162500</v>
      </c>
      <c r="H629" s="231">
        <f t="shared" si="116"/>
        <v>212800</v>
      </c>
      <c r="I629" s="231">
        <f t="shared" si="116"/>
        <v>212800</v>
      </c>
      <c r="J629" s="231">
        <f t="shared" si="116"/>
        <v>212800</v>
      </c>
    </row>
    <row r="630" spans="1:10" x14ac:dyDescent="0.2">
      <c r="A630" s="222"/>
      <c r="B630" s="222" t="s">
        <v>1273</v>
      </c>
      <c r="C630" s="222"/>
      <c r="D630" s="222"/>
      <c r="E630" s="231">
        <f t="shared" ref="E630:J630" si="117">E541</f>
        <v>0</v>
      </c>
      <c r="F630" s="231">
        <f t="shared" si="117"/>
        <v>79600</v>
      </c>
      <c r="G630" s="231">
        <f t="shared" si="117"/>
        <v>56000</v>
      </c>
      <c r="H630" s="231">
        <f t="shared" si="117"/>
        <v>74100</v>
      </c>
      <c r="I630" s="231">
        <f t="shared" si="117"/>
        <v>74100</v>
      </c>
      <c r="J630" s="231">
        <f t="shared" si="117"/>
        <v>74100</v>
      </c>
    </row>
    <row r="631" spans="1:10" ht="15" thickBot="1" x14ac:dyDescent="0.25">
      <c r="A631" s="222"/>
      <c r="B631" s="222"/>
      <c r="C631" s="222" t="s">
        <v>390</v>
      </c>
      <c r="D631" s="235"/>
      <c r="E631" s="236">
        <f t="shared" ref="E631:J631" si="118">SUM(E624:E630)</f>
        <v>1347956.2999999998</v>
      </c>
      <c r="F631" s="236">
        <f t="shared" si="118"/>
        <v>1765800</v>
      </c>
      <c r="G631" s="236">
        <f t="shared" si="118"/>
        <v>1497100</v>
      </c>
      <c r="H631" s="236">
        <f t="shared" si="118"/>
        <v>2110800</v>
      </c>
      <c r="I631" s="236">
        <f t="shared" si="118"/>
        <v>2071800</v>
      </c>
      <c r="J631" s="236">
        <f t="shared" si="118"/>
        <v>2071800</v>
      </c>
    </row>
    <row r="632" spans="1:10" x14ac:dyDescent="0.2">
      <c r="A632" s="244" t="s">
        <v>15</v>
      </c>
      <c r="B632" s="222"/>
      <c r="C632" s="222"/>
      <c r="D632" s="240"/>
      <c r="E632" s="242"/>
      <c r="F632" s="242"/>
      <c r="G632" s="242"/>
      <c r="H632" s="242"/>
      <c r="I632" s="242"/>
      <c r="J632" s="242"/>
    </row>
    <row r="633" spans="1:10" x14ac:dyDescent="0.2">
      <c r="A633" s="233"/>
      <c r="B633" s="222" t="s">
        <v>501</v>
      </c>
      <c r="C633" s="222"/>
      <c r="D633" s="222"/>
      <c r="E633" s="231">
        <f t="shared" ref="E633:J633" si="119">E131</f>
        <v>1608946.53</v>
      </c>
      <c r="F633" s="231">
        <f t="shared" si="119"/>
        <v>2707600</v>
      </c>
      <c r="G633" s="231">
        <f t="shared" si="119"/>
        <v>5136800</v>
      </c>
      <c r="H633" s="231">
        <f t="shared" si="119"/>
        <v>3070400</v>
      </c>
      <c r="I633" s="231">
        <f t="shared" si="119"/>
        <v>1299200</v>
      </c>
      <c r="J633" s="231">
        <f t="shared" si="119"/>
        <v>0</v>
      </c>
    </row>
    <row r="634" spans="1:10" x14ac:dyDescent="0.2">
      <c r="A634" s="233"/>
      <c r="B634" s="222" t="s">
        <v>1268</v>
      </c>
      <c r="C634" s="222"/>
      <c r="D634" s="222"/>
      <c r="E634" s="231">
        <f t="shared" ref="E634:J634" si="120">E203</f>
        <v>0</v>
      </c>
      <c r="F634" s="231">
        <f t="shared" si="120"/>
        <v>0</v>
      </c>
      <c r="G634" s="231">
        <f t="shared" si="120"/>
        <v>0</v>
      </c>
      <c r="H634" s="231">
        <f t="shared" si="120"/>
        <v>0</v>
      </c>
      <c r="I634" s="231">
        <f t="shared" si="120"/>
        <v>0</v>
      </c>
      <c r="J634" s="231">
        <f t="shared" si="120"/>
        <v>0</v>
      </c>
    </row>
    <row r="635" spans="1:10" x14ac:dyDescent="0.2">
      <c r="A635" s="233"/>
      <c r="B635" s="222" t="s">
        <v>1269</v>
      </c>
      <c r="C635" s="222"/>
      <c r="D635" s="222"/>
      <c r="E635" s="231">
        <f t="shared" ref="E635:J635" si="121">E281</f>
        <v>0</v>
      </c>
      <c r="F635" s="231">
        <f t="shared" si="121"/>
        <v>0</v>
      </c>
      <c r="G635" s="231">
        <f t="shared" si="121"/>
        <v>0</v>
      </c>
      <c r="H635" s="231">
        <f t="shared" si="121"/>
        <v>0</v>
      </c>
      <c r="I635" s="231">
        <f t="shared" si="121"/>
        <v>0</v>
      </c>
      <c r="J635" s="231">
        <f t="shared" si="121"/>
        <v>0</v>
      </c>
    </row>
    <row r="636" spans="1:10" x14ac:dyDescent="0.2">
      <c r="A636" s="233"/>
      <c r="B636" s="222" t="s">
        <v>1270</v>
      </c>
      <c r="C636" s="222"/>
      <c r="D636" s="222"/>
      <c r="E636" s="231">
        <f t="shared" ref="E636:J636" si="122">E347</f>
        <v>0</v>
      </c>
      <c r="F636" s="231">
        <f t="shared" si="122"/>
        <v>0</v>
      </c>
      <c r="G636" s="231">
        <f t="shared" si="122"/>
        <v>0</v>
      </c>
      <c r="H636" s="231">
        <f t="shared" si="122"/>
        <v>0</v>
      </c>
      <c r="I636" s="231">
        <f t="shared" si="122"/>
        <v>0</v>
      </c>
      <c r="J636" s="231">
        <f t="shared" si="122"/>
        <v>0</v>
      </c>
    </row>
    <row r="637" spans="1:10" x14ac:dyDescent="0.2">
      <c r="A637" s="233"/>
      <c r="B637" s="222" t="s">
        <v>1271</v>
      </c>
      <c r="C637" s="222"/>
      <c r="D637" s="222"/>
      <c r="E637" s="231">
        <f t="shared" ref="E637:J637" si="123">E415</f>
        <v>0</v>
      </c>
      <c r="F637" s="231">
        <f t="shared" si="123"/>
        <v>0</v>
      </c>
      <c r="G637" s="231">
        <f t="shared" si="123"/>
        <v>0</v>
      </c>
      <c r="H637" s="231">
        <f t="shared" si="123"/>
        <v>0</v>
      </c>
      <c r="I637" s="231">
        <f t="shared" si="123"/>
        <v>0</v>
      </c>
      <c r="J637" s="231">
        <f t="shared" si="123"/>
        <v>0</v>
      </c>
    </row>
    <row r="638" spans="1:10" x14ac:dyDescent="0.2">
      <c r="A638" s="233"/>
      <c r="B638" s="222" t="s">
        <v>1272</v>
      </c>
      <c r="C638" s="222"/>
      <c r="D638" s="222"/>
      <c r="E638" s="231">
        <f t="shared" ref="E638:J638" si="124">E482</f>
        <v>0</v>
      </c>
      <c r="F638" s="231">
        <f t="shared" si="124"/>
        <v>0</v>
      </c>
      <c r="G638" s="231">
        <f t="shared" si="124"/>
        <v>0</v>
      </c>
      <c r="H638" s="231">
        <f t="shared" si="124"/>
        <v>0</v>
      </c>
      <c r="I638" s="231">
        <f t="shared" si="124"/>
        <v>0</v>
      </c>
      <c r="J638" s="231">
        <f t="shared" si="124"/>
        <v>0</v>
      </c>
    </row>
    <row r="639" spans="1:10" x14ac:dyDescent="0.2">
      <c r="A639" s="233"/>
      <c r="B639" s="222" t="s">
        <v>1273</v>
      </c>
      <c r="C639" s="222"/>
      <c r="D639" s="222"/>
      <c r="E639" s="231">
        <f t="shared" ref="E639:J639" si="125">E549</f>
        <v>0</v>
      </c>
      <c r="F639" s="231">
        <f t="shared" si="125"/>
        <v>0</v>
      </c>
      <c r="G639" s="231">
        <f t="shared" si="125"/>
        <v>0</v>
      </c>
      <c r="H639" s="231">
        <f t="shared" si="125"/>
        <v>0</v>
      </c>
      <c r="I639" s="231">
        <f t="shared" si="125"/>
        <v>0</v>
      </c>
      <c r="J639" s="231">
        <f t="shared" si="125"/>
        <v>0</v>
      </c>
    </row>
    <row r="640" spans="1:10" ht="15" thickBot="1" x14ac:dyDescent="0.25">
      <c r="A640" s="243"/>
      <c r="B640" s="243" t="s">
        <v>69</v>
      </c>
      <c r="C640" s="240"/>
      <c r="D640" s="222"/>
      <c r="E640" s="236">
        <f t="shared" ref="E640:J640" si="126">SUM(E633:E639)</f>
        <v>1608946.53</v>
      </c>
      <c r="F640" s="236">
        <f t="shared" si="126"/>
        <v>2707600</v>
      </c>
      <c r="G640" s="236">
        <f t="shared" si="126"/>
        <v>5136800</v>
      </c>
      <c r="H640" s="236">
        <f t="shared" si="126"/>
        <v>3070400</v>
      </c>
      <c r="I640" s="236">
        <f t="shared" si="126"/>
        <v>1299200</v>
      </c>
      <c r="J640" s="236">
        <f t="shared" si="126"/>
        <v>0</v>
      </c>
    </row>
    <row r="641" spans="1:10" x14ac:dyDescent="0.2">
      <c r="A641" s="222"/>
      <c r="B641" s="222"/>
      <c r="C641" s="222"/>
      <c r="D641" s="222"/>
      <c r="E641" s="242"/>
      <c r="F641" s="242"/>
      <c r="G641" s="242"/>
      <c r="H641" s="227"/>
      <c r="I641" s="227"/>
      <c r="J641" s="227"/>
    </row>
    <row r="642" spans="1:10" ht="15" thickBot="1" x14ac:dyDescent="0.25">
      <c r="A642" s="222"/>
      <c r="B642" s="222"/>
      <c r="C642" s="222"/>
      <c r="D642" s="222"/>
      <c r="E642" s="240"/>
      <c r="F642" s="276" t="s">
        <v>391</v>
      </c>
      <c r="G642" s="240"/>
      <c r="H642" s="240"/>
      <c r="I642" s="245"/>
      <c r="J642" s="245"/>
    </row>
    <row r="643" spans="1:10" ht="15" thickTop="1" x14ac:dyDescent="0.2">
      <c r="A643" s="246"/>
      <c r="B643" s="246"/>
      <c r="C643" s="246"/>
      <c r="D643" s="246"/>
      <c r="E643" s="246"/>
      <c r="F643" s="277"/>
      <c r="G643" s="246"/>
      <c r="H643" s="246"/>
      <c r="I643" s="246"/>
      <c r="J643" s="246"/>
    </row>
    <row r="644" spans="1:10" x14ac:dyDescent="0.2">
      <c r="A644" s="247"/>
      <c r="B644" s="247">
        <v>210</v>
      </c>
      <c r="C644" s="222" t="s">
        <v>7</v>
      </c>
      <c r="D644" s="222"/>
      <c r="E644" s="231">
        <f t="shared" ref="E644:J659" si="127">SUMIF($A$69:$A$1058,$B644,E$69:E$1058)</f>
        <v>3016365.95</v>
      </c>
      <c r="F644" s="231">
        <f t="shared" si="127"/>
        <v>3606000</v>
      </c>
      <c r="G644" s="231">
        <f t="shared" si="127"/>
        <v>3559400</v>
      </c>
      <c r="H644" s="231">
        <f t="shared" si="127"/>
        <v>3613700</v>
      </c>
      <c r="I644" s="231">
        <f t="shared" si="127"/>
        <v>3865900</v>
      </c>
      <c r="J644" s="231">
        <f t="shared" si="127"/>
        <v>3919700</v>
      </c>
    </row>
    <row r="645" spans="1:10" x14ac:dyDescent="0.2">
      <c r="A645" s="247"/>
      <c r="B645" s="247">
        <v>212</v>
      </c>
      <c r="C645" s="222" t="s">
        <v>9</v>
      </c>
      <c r="D645" s="222"/>
      <c r="E645" s="231">
        <f t="shared" si="127"/>
        <v>15506.4</v>
      </c>
      <c r="F645" s="231">
        <f t="shared" si="127"/>
        <v>15600</v>
      </c>
      <c r="G645" s="231">
        <f t="shared" si="127"/>
        <v>17400</v>
      </c>
      <c r="H645" s="231">
        <f t="shared" si="127"/>
        <v>19200</v>
      </c>
      <c r="I645" s="231">
        <f t="shared" si="127"/>
        <v>19200</v>
      </c>
      <c r="J645" s="231">
        <f t="shared" si="127"/>
        <v>19200</v>
      </c>
    </row>
    <row r="646" spans="1:10" x14ac:dyDescent="0.2">
      <c r="A646" s="247"/>
      <c r="B646" s="247">
        <v>213</v>
      </c>
      <c r="C646" s="222" t="s">
        <v>201</v>
      </c>
      <c r="D646" s="222"/>
      <c r="E646" s="231">
        <f t="shared" si="127"/>
        <v>0</v>
      </c>
      <c r="F646" s="231">
        <f t="shared" si="127"/>
        <v>0</v>
      </c>
      <c r="G646" s="231">
        <f t="shared" si="127"/>
        <v>0</v>
      </c>
      <c r="H646" s="231">
        <f t="shared" si="127"/>
        <v>0</v>
      </c>
      <c r="I646" s="231">
        <f t="shared" si="127"/>
        <v>0</v>
      </c>
      <c r="J646" s="231">
        <f t="shared" si="127"/>
        <v>0</v>
      </c>
    </row>
    <row r="647" spans="1:10" x14ac:dyDescent="0.2">
      <c r="A647" s="247"/>
      <c r="B647" s="247">
        <v>216</v>
      </c>
      <c r="C647" s="222" t="s">
        <v>10</v>
      </c>
      <c r="D647" s="222"/>
      <c r="E647" s="231">
        <f t="shared" si="127"/>
        <v>450661</v>
      </c>
      <c r="F647" s="231">
        <f t="shared" si="127"/>
        <v>582800</v>
      </c>
      <c r="G647" s="231">
        <f t="shared" si="127"/>
        <v>572300</v>
      </c>
      <c r="H647" s="231">
        <f t="shared" si="127"/>
        <v>638200</v>
      </c>
      <c r="I647" s="231">
        <f t="shared" si="127"/>
        <v>645700</v>
      </c>
      <c r="J647" s="231">
        <f t="shared" si="127"/>
        <v>632400</v>
      </c>
    </row>
    <row r="648" spans="1:10" x14ac:dyDescent="0.2">
      <c r="A648" s="247"/>
      <c r="B648" s="247">
        <v>218</v>
      </c>
      <c r="C648" s="222" t="s">
        <v>202</v>
      </c>
      <c r="D648" s="222"/>
      <c r="E648" s="231">
        <f t="shared" si="127"/>
        <v>18285</v>
      </c>
      <c r="F648" s="231">
        <f t="shared" si="127"/>
        <v>33600</v>
      </c>
      <c r="G648" s="231">
        <f t="shared" si="127"/>
        <v>39200</v>
      </c>
      <c r="H648" s="231">
        <f t="shared" si="127"/>
        <v>36200</v>
      </c>
      <c r="I648" s="231">
        <f t="shared" si="127"/>
        <v>46900</v>
      </c>
      <c r="J648" s="231">
        <f t="shared" si="127"/>
        <v>6900</v>
      </c>
    </row>
    <row r="649" spans="1:10" x14ac:dyDescent="0.2">
      <c r="A649" s="247"/>
      <c r="B649" s="247">
        <v>219</v>
      </c>
      <c r="C649" s="222" t="s">
        <v>203</v>
      </c>
      <c r="D649" s="222"/>
      <c r="E649" s="231">
        <f t="shared" si="127"/>
        <v>0</v>
      </c>
      <c r="F649" s="231">
        <f t="shared" si="127"/>
        <v>0</v>
      </c>
      <c r="G649" s="231">
        <f t="shared" si="127"/>
        <v>0</v>
      </c>
      <c r="H649" s="231">
        <f t="shared" si="127"/>
        <v>0</v>
      </c>
      <c r="I649" s="231">
        <f t="shared" si="127"/>
        <v>0</v>
      </c>
      <c r="J649" s="231">
        <f t="shared" si="127"/>
        <v>0</v>
      </c>
    </row>
    <row r="650" spans="1:10" x14ac:dyDescent="0.2">
      <c r="A650" s="247"/>
      <c r="B650" s="247">
        <v>220</v>
      </c>
      <c r="C650" s="222" t="s">
        <v>204</v>
      </c>
      <c r="D650" s="222"/>
      <c r="E650" s="231">
        <f t="shared" si="127"/>
        <v>11667.4</v>
      </c>
      <c r="F650" s="231">
        <f t="shared" si="127"/>
        <v>14100</v>
      </c>
      <c r="G650" s="231">
        <f t="shared" si="127"/>
        <v>14100</v>
      </c>
      <c r="H650" s="231">
        <f t="shared" si="127"/>
        <v>14100</v>
      </c>
      <c r="I650" s="231">
        <f t="shared" si="127"/>
        <v>14100</v>
      </c>
      <c r="J650" s="231">
        <f t="shared" si="127"/>
        <v>14100</v>
      </c>
    </row>
    <row r="651" spans="1:10" x14ac:dyDescent="0.2">
      <c r="A651" s="247"/>
      <c r="B651" s="247">
        <v>222</v>
      </c>
      <c r="C651" s="222" t="s">
        <v>205</v>
      </c>
      <c r="D651" s="222"/>
      <c r="E651" s="231">
        <f t="shared" si="127"/>
        <v>32350.38</v>
      </c>
      <c r="F651" s="231">
        <f t="shared" si="127"/>
        <v>53000</v>
      </c>
      <c r="G651" s="231">
        <f t="shared" si="127"/>
        <v>53000</v>
      </c>
      <c r="H651" s="231">
        <f t="shared" si="127"/>
        <v>65000</v>
      </c>
      <c r="I651" s="231">
        <f t="shared" si="127"/>
        <v>65000</v>
      </c>
      <c r="J651" s="231">
        <f t="shared" si="127"/>
        <v>65000</v>
      </c>
    </row>
    <row r="652" spans="1:10" x14ac:dyDescent="0.2">
      <c r="A652" s="247"/>
      <c r="B652" s="247">
        <v>224</v>
      </c>
      <c r="C652" s="222" t="s">
        <v>206</v>
      </c>
      <c r="D652" s="222"/>
      <c r="E652" s="231">
        <f t="shared" si="127"/>
        <v>198500</v>
      </c>
      <c r="F652" s="231">
        <f t="shared" si="127"/>
        <v>198500</v>
      </c>
      <c r="G652" s="231">
        <f t="shared" si="127"/>
        <v>97000</v>
      </c>
      <c r="H652" s="231">
        <f t="shared" si="127"/>
        <v>198500</v>
      </c>
      <c r="I652" s="231">
        <f t="shared" si="127"/>
        <v>198500</v>
      </c>
      <c r="J652" s="231">
        <f t="shared" si="127"/>
        <v>198500</v>
      </c>
    </row>
    <row r="653" spans="1:10" x14ac:dyDescent="0.2">
      <c r="A653" s="247"/>
      <c r="B653" s="247">
        <v>226</v>
      </c>
      <c r="C653" s="222" t="s">
        <v>207</v>
      </c>
      <c r="D653" s="222"/>
      <c r="E653" s="231">
        <f t="shared" si="127"/>
        <v>50000</v>
      </c>
      <c r="F653" s="231">
        <f t="shared" si="127"/>
        <v>50000</v>
      </c>
      <c r="G653" s="231">
        <f t="shared" si="127"/>
        <v>60000</v>
      </c>
      <c r="H653" s="231">
        <f t="shared" si="127"/>
        <v>50000</v>
      </c>
      <c r="I653" s="231">
        <f t="shared" si="127"/>
        <v>50000</v>
      </c>
      <c r="J653" s="231">
        <f t="shared" si="127"/>
        <v>50000</v>
      </c>
    </row>
    <row r="654" spans="1:10" x14ac:dyDescent="0.2">
      <c r="A654" s="247"/>
      <c r="B654" s="247">
        <v>228</v>
      </c>
      <c r="C654" s="222" t="s">
        <v>208</v>
      </c>
      <c r="D654" s="222"/>
      <c r="E654" s="231">
        <f t="shared" si="127"/>
        <v>40563.910000000003</v>
      </c>
      <c r="F654" s="231">
        <f t="shared" si="127"/>
        <v>43000</v>
      </c>
      <c r="G654" s="231">
        <f t="shared" si="127"/>
        <v>43000</v>
      </c>
      <c r="H654" s="231">
        <f t="shared" si="127"/>
        <v>75700</v>
      </c>
      <c r="I654" s="231">
        <f t="shared" si="127"/>
        <v>70700</v>
      </c>
      <c r="J654" s="231">
        <f t="shared" si="127"/>
        <v>70700</v>
      </c>
    </row>
    <row r="655" spans="1:10" x14ac:dyDescent="0.2">
      <c r="A655" s="247"/>
      <c r="B655" s="247">
        <v>229</v>
      </c>
      <c r="C655" s="222" t="s">
        <v>209</v>
      </c>
      <c r="D655" s="222"/>
      <c r="E655" s="231">
        <f t="shared" si="127"/>
        <v>42884.13</v>
      </c>
      <c r="F655" s="231">
        <f t="shared" si="127"/>
        <v>40000</v>
      </c>
      <c r="G655" s="231">
        <f t="shared" si="127"/>
        <v>40000</v>
      </c>
      <c r="H655" s="231">
        <f t="shared" si="127"/>
        <v>40000</v>
      </c>
      <c r="I655" s="231">
        <f t="shared" si="127"/>
        <v>40000</v>
      </c>
      <c r="J655" s="231">
        <f t="shared" si="127"/>
        <v>40000</v>
      </c>
    </row>
    <row r="656" spans="1:10" x14ac:dyDescent="0.2">
      <c r="A656" s="247"/>
      <c r="B656" s="247">
        <v>230</v>
      </c>
      <c r="C656" s="222" t="s">
        <v>210</v>
      </c>
      <c r="D656" s="222"/>
      <c r="E656" s="231">
        <f t="shared" si="127"/>
        <v>14583.45</v>
      </c>
      <c r="F656" s="231">
        <f t="shared" si="127"/>
        <v>16300</v>
      </c>
      <c r="G656" s="231">
        <f t="shared" si="127"/>
        <v>16300</v>
      </c>
      <c r="H656" s="231">
        <f t="shared" si="127"/>
        <v>41300</v>
      </c>
      <c r="I656" s="231">
        <f t="shared" si="127"/>
        <v>16300</v>
      </c>
      <c r="J656" s="231">
        <f t="shared" si="127"/>
        <v>16300</v>
      </c>
    </row>
    <row r="657" spans="1:10" x14ac:dyDescent="0.2">
      <c r="A657" s="247"/>
      <c r="B657" s="247">
        <v>232</v>
      </c>
      <c r="C657" s="222" t="s">
        <v>211</v>
      </c>
      <c r="D657" s="222"/>
      <c r="E657" s="231">
        <f t="shared" si="127"/>
        <v>265283.84999999998</v>
      </c>
      <c r="F657" s="231">
        <f t="shared" si="127"/>
        <v>379600</v>
      </c>
      <c r="G657" s="231">
        <f t="shared" si="127"/>
        <v>324300</v>
      </c>
      <c r="H657" s="231">
        <f t="shared" si="127"/>
        <v>389600</v>
      </c>
      <c r="I657" s="231">
        <f t="shared" si="127"/>
        <v>389600</v>
      </c>
      <c r="J657" s="231">
        <f t="shared" si="127"/>
        <v>389600</v>
      </c>
    </row>
    <row r="658" spans="1:10" x14ac:dyDescent="0.2">
      <c r="A658" s="247"/>
      <c r="B658" s="247">
        <v>234</v>
      </c>
      <c r="C658" s="222" t="s">
        <v>212</v>
      </c>
      <c r="D658" s="222"/>
      <c r="E658" s="231">
        <f t="shared" si="127"/>
        <v>84900</v>
      </c>
      <c r="F658" s="231">
        <f t="shared" si="127"/>
        <v>82800</v>
      </c>
      <c r="G658" s="231">
        <f t="shared" si="127"/>
        <v>82800</v>
      </c>
      <c r="H658" s="231">
        <f t="shared" si="127"/>
        <v>72000</v>
      </c>
      <c r="I658" s="231">
        <f t="shared" si="127"/>
        <v>72000</v>
      </c>
      <c r="J658" s="231">
        <f t="shared" si="127"/>
        <v>72000</v>
      </c>
    </row>
    <row r="659" spans="1:10" x14ac:dyDescent="0.2">
      <c r="A659" s="247"/>
      <c r="B659" s="247">
        <v>236</v>
      </c>
      <c r="C659" s="222" t="s">
        <v>213</v>
      </c>
      <c r="D659" s="222"/>
      <c r="E659" s="231">
        <f t="shared" si="127"/>
        <v>32500</v>
      </c>
      <c r="F659" s="231">
        <f t="shared" si="127"/>
        <v>118000</v>
      </c>
      <c r="G659" s="231">
        <f t="shared" si="127"/>
        <v>93000</v>
      </c>
      <c r="H659" s="231">
        <f t="shared" si="127"/>
        <v>216600</v>
      </c>
      <c r="I659" s="231">
        <f t="shared" si="127"/>
        <v>207600</v>
      </c>
      <c r="J659" s="231">
        <f t="shared" si="127"/>
        <v>207600</v>
      </c>
    </row>
    <row r="660" spans="1:10" x14ac:dyDescent="0.2">
      <c r="A660" s="247"/>
      <c r="B660" s="247">
        <v>238</v>
      </c>
      <c r="C660" s="222" t="s">
        <v>214</v>
      </c>
      <c r="D660" s="222"/>
      <c r="E660" s="231">
        <f t="shared" ref="E660:J675" si="128">SUMIF($A$69:$A$1058,$B660,E$69:E$1058)</f>
        <v>0</v>
      </c>
      <c r="F660" s="231">
        <f t="shared" si="128"/>
        <v>0</v>
      </c>
      <c r="G660" s="231">
        <f t="shared" si="128"/>
        <v>0</v>
      </c>
      <c r="H660" s="231">
        <f t="shared" si="128"/>
        <v>0</v>
      </c>
      <c r="I660" s="231">
        <f t="shared" si="128"/>
        <v>0</v>
      </c>
      <c r="J660" s="231">
        <f t="shared" si="128"/>
        <v>0</v>
      </c>
    </row>
    <row r="661" spans="1:10" x14ac:dyDescent="0.2">
      <c r="A661" s="247"/>
      <c r="B661" s="247">
        <v>240</v>
      </c>
      <c r="C661" s="222" t="s">
        <v>215</v>
      </c>
      <c r="D661" s="222"/>
      <c r="E661" s="231">
        <f t="shared" si="128"/>
        <v>0</v>
      </c>
      <c r="F661" s="231">
        <f t="shared" si="128"/>
        <v>0</v>
      </c>
      <c r="G661" s="231">
        <f t="shared" si="128"/>
        <v>0</v>
      </c>
      <c r="H661" s="231">
        <f t="shared" si="128"/>
        <v>0</v>
      </c>
      <c r="I661" s="231">
        <f t="shared" si="128"/>
        <v>0</v>
      </c>
      <c r="J661" s="231">
        <f t="shared" si="128"/>
        <v>0</v>
      </c>
    </row>
    <row r="662" spans="1:10" x14ac:dyDescent="0.2">
      <c r="A662" s="247"/>
      <c r="B662" s="247">
        <v>242</v>
      </c>
      <c r="C662" s="222" t="s">
        <v>216</v>
      </c>
      <c r="D662" s="222"/>
      <c r="E662" s="231">
        <f t="shared" si="128"/>
        <v>0</v>
      </c>
      <c r="F662" s="231">
        <f t="shared" si="128"/>
        <v>0</v>
      </c>
      <c r="G662" s="231">
        <f t="shared" si="128"/>
        <v>0</v>
      </c>
      <c r="H662" s="231">
        <f t="shared" si="128"/>
        <v>0</v>
      </c>
      <c r="I662" s="231">
        <f t="shared" si="128"/>
        <v>0</v>
      </c>
      <c r="J662" s="231">
        <f t="shared" si="128"/>
        <v>0</v>
      </c>
    </row>
    <row r="663" spans="1:10" x14ac:dyDescent="0.2">
      <c r="A663" s="247"/>
      <c r="B663" s="247">
        <v>244</v>
      </c>
      <c r="C663" s="222" t="s">
        <v>217</v>
      </c>
      <c r="D663" s="222"/>
      <c r="E663" s="231">
        <f t="shared" si="128"/>
        <v>9484</v>
      </c>
      <c r="F663" s="231">
        <f t="shared" si="128"/>
        <v>11100</v>
      </c>
      <c r="G663" s="231">
        <f t="shared" si="128"/>
        <v>11100</v>
      </c>
      <c r="H663" s="231">
        <f t="shared" si="128"/>
        <v>11100</v>
      </c>
      <c r="I663" s="231">
        <f t="shared" si="128"/>
        <v>11100</v>
      </c>
      <c r="J663" s="231">
        <f t="shared" si="128"/>
        <v>11100</v>
      </c>
    </row>
    <row r="664" spans="1:10" x14ac:dyDescent="0.2">
      <c r="A664" s="247"/>
      <c r="B664" s="247">
        <v>246</v>
      </c>
      <c r="C664" s="222" t="s">
        <v>218</v>
      </c>
      <c r="D664" s="222"/>
      <c r="E664" s="231">
        <f t="shared" si="128"/>
        <v>567</v>
      </c>
      <c r="F664" s="231">
        <f t="shared" si="128"/>
        <v>2000</v>
      </c>
      <c r="G664" s="231">
        <f t="shared" si="128"/>
        <v>2000</v>
      </c>
      <c r="H664" s="231">
        <f t="shared" si="128"/>
        <v>2000</v>
      </c>
      <c r="I664" s="231">
        <f t="shared" si="128"/>
        <v>2000</v>
      </c>
      <c r="J664" s="231">
        <f t="shared" si="128"/>
        <v>2000</v>
      </c>
    </row>
    <row r="665" spans="1:10" x14ac:dyDescent="0.2">
      <c r="A665" s="247"/>
      <c r="B665" s="247">
        <v>247</v>
      </c>
      <c r="C665" s="222" t="s">
        <v>219</v>
      </c>
      <c r="D665" s="222"/>
      <c r="E665" s="231">
        <f t="shared" si="128"/>
        <v>0</v>
      </c>
      <c r="F665" s="231">
        <f t="shared" si="128"/>
        <v>0</v>
      </c>
      <c r="G665" s="231">
        <f t="shared" si="128"/>
        <v>0</v>
      </c>
      <c r="H665" s="231">
        <f t="shared" si="128"/>
        <v>0</v>
      </c>
      <c r="I665" s="231">
        <f t="shared" si="128"/>
        <v>0</v>
      </c>
      <c r="J665" s="231">
        <f t="shared" si="128"/>
        <v>0</v>
      </c>
    </row>
    <row r="666" spans="1:10" x14ac:dyDescent="0.2">
      <c r="A666" s="247"/>
      <c r="B666" s="247">
        <v>260</v>
      </c>
      <c r="C666" s="222" t="s">
        <v>220</v>
      </c>
      <c r="D666" s="222"/>
      <c r="E666" s="231">
        <f t="shared" si="128"/>
        <v>0</v>
      </c>
      <c r="F666" s="231">
        <f t="shared" si="128"/>
        <v>0</v>
      </c>
      <c r="G666" s="231">
        <f t="shared" si="128"/>
        <v>0</v>
      </c>
      <c r="H666" s="231">
        <f t="shared" si="128"/>
        <v>0</v>
      </c>
      <c r="I666" s="231">
        <f t="shared" si="128"/>
        <v>0</v>
      </c>
      <c r="J666" s="231">
        <f t="shared" si="128"/>
        <v>0</v>
      </c>
    </row>
    <row r="667" spans="1:10" x14ac:dyDescent="0.2">
      <c r="A667" s="247"/>
      <c r="B667" s="247">
        <v>261</v>
      </c>
      <c r="C667" s="222" t="s">
        <v>221</v>
      </c>
      <c r="D667" s="222"/>
      <c r="E667" s="231">
        <f t="shared" si="128"/>
        <v>0</v>
      </c>
      <c r="F667" s="231">
        <f t="shared" si="128"/>
        <v>120000</v>
      </c>
      <c r="G667" s="231">
        <f t="shared" si="128"/>
        <v>120000</v>
      </c>
      <c r="H667" s="231">
        <f t="shared" si="128"/>
        <v>330000</v>
      </c>
      <c r="I667" s="231">
        <f t="shared" si="128"/>
        <v>330000</v>
      </c>
      <c r="J667" s="231">
        <f t="shared" si="128"/>
        <v>330000</v>
      </c>
    </row>
    <row r="668" spans="1:10" x14ac:dyDescent="0.2">
      <c r="A668" s="247"/>
      <c r="B668" s="247">
        <v>265</v>
      </c>
      <c r="C668" s="222" t="s">
        <v>222</v>
      </c>
      <c r="D668" s="222"/>
      <c r="E668" s="231">
        <f t="shared" si="128"/>
        <v>0</v>
      </c>
      <c r="F668" s="231">
        <f t="shared" si="128"/>
        <v>0</v>
      </c>
      <c r="G668" s="231">
        <f t="shared" si="128"/>
        <v>0</v>
      </c>
      <c r="H668" s="231">
        <f t="shared" si="128"/>
        <v>0</v>
      </c>
      <c r="I668" s="231">
        <f t="shared" si="128"/>
        <v>0</v>
      </c>
      <c r="J668" s="231">
        <f t="shared" si="128"/>
        <v>0</v>
      </c>
    </row>
    <row r="669" spans="1:10" x14ac:dyDescent="0.2">
      <c r="A669" s="247"/>
      <c r="B669" s="247">
        <v>266</v>
      </c>
      <c r="C669" s="222" t="s">
        <v>223</v>
      </c>
      <c r="D669" s="222"/>
      <c r="E669" s="231">
        <f t="shared" si="128"/>
        <v>0</v>
      </c>
      <c r="F669" s="231">
        <f t="shared" si="128"/>
        <v>0</v>
      </c>
      <c r="G669" s="231">
        <f t="shared" si="128"/>
        <v>0</v>
      </c>
      <c r="H669" s="231">
        <f t="shared" si="128"/>
        <v>0</v>
      </c>
      <c r="I669" s="231">
        <f t="shared" si="128"/>
        <v>0</v>
      </c>
      <c r="J669" s="231">
        <f t="shared" si="128"/>
        <v>0</v>
      </c>
    </row>
    <row r="670" spans="1:10" x14ac:dyDescent="0.2">
      <c r="A670" s="247"/>
      <c r="B670" s="247">
        <v>270</v>
      </c>
      <c r="C670" s="222" t="s">
        <v>224</v>
      </c>
      <c r="D670" s="222"/>
      <c r="E670" s="231">
        <f t="shared" si="128"/>
        <v>0</v>
      </c>
      <c r="F670" s="231">
        <f t="shared" si="128"/>
        <v>0</v>
      </c>
      <c r="G670" s="231">
        <f t="shared" si="128"/>
        <v>0</v>
      </c>
      <c r="H670" s="231">
        <f t="shared" si="128"/>
        <v>0</v>
      </c>
      <c r="I670" s="231">
        <f t="shared" si="128"/>
        <v>0</v>
      </c>
      <c r="J670" s="231">
        <f t="shared" si="128"/>
        <v>0</v>
      </c>
    </row>
    <row r="671" spans="1:10" x14ac:dyDescent="0.2">
      <c r="A671" s="247"/>
      <c r="B671" s="247">
        <v>272</v>
      </c>
      <c r="C671" s="222" t="s">
        <v>225</v>
      </c>
      <c r="D671" s="222"/>
      <c r="E671" s="231">
        <f t="shared" si="128"/>
        <v>0</v>
      </c>
      <c r="F671" s="231">
        <f t="shared" si="128"/>
        <v>0</v>
      </c>
      <c r="G671" s="231">
        <f t="shared" si="128"/>
        <v>0</v>
      </c>
      <c r="H671" s="231">
        <f t="shared" si="128"/>
        <v>0</v>
      </c>
      <c r="I671" s="231">
        <f t="shared" si="128"/>
        <v>0</v>
      </c>
      <c r="J671" s="231">
        <f t="shared" si="128"/>
        <v>0</v>
      </c>
    </row>
    <row r="672" spans="1:10" x14ac:dyDescent="0.2">
      <c r="A672" s="247"/>
      <c r="B672" s="247">
        <v>273</v>
      </c>
      <c r="C672" s="222" t="s">
        <v>226</v>
      </c>
      <c r="D672" s="222"/>
      <c r="E672" s="231">
        <f t="shared" si="128"/>
        <v>518306.37</v>
      </c>
      <c r="F672" s="231">
        <f t="shared" si="128"/>
        <v>521000</v>
      </c>
      <c r="G672" s="231">
        <f t="shared" si="128"/>
        <v>453000</v>
      </c>
      <c r="H672" s="231">
        <f t="shared" si="128"/>
        <v>516000</v>
      </c>
      <c r="I672" s="231">
        <f t="shared" si="128"/>
        <v>516000</v>
      </c>
      <c r="J672" s="231">
        <f t="shared" si="128"/>
        <v>516000</v>
      </c>
    </row>
    <row r="673" spans="1:10" x14ac:dyDescent="0.2">
      <c r="A673" s="247"/>
      <c r="B673" s="247">
        <v>274</v>
      </c>
      <c r="C673" s="222" t="s">
        <v>227</v>
      </c>
      <c r="D673" s="222"/>
      <c r="E673" s="231">
        <f t="shared" si="128"/>
        <v>0</v>
      </c>
      <c r="F673" s="231">
        <f t="shared" si="128"/>
        <v>0</v>
      </c>
      <c r="G673" s="231">
        <f t="shared" si="128"/>
        <v>0</v>
      </c>
      <c r="H673" s="231">
        <f t="shared" si="128"/>
        <v>0</v>
      </c>
      <c r="I673" s="231">
        <f t="shared" si="128"/>
        <v>0</v>
      </c>
      <c r="J673" s="231">
        <f t="shared" si="128"/>
        <v>0</v>
      </c>
    </row>
    <row r="674" spans="1:10" x14ac:dyDescent="0.2">
      <c r="A674" s="247"/>
      <c r="B674" s="247">
        <v>275</v>
      </c>
      <c r="C674" s="222" t="s">
        <v>228</v>
      </c>
      <c r="D674" s="222"/>
      <c r="E674" s="231">
        <f t="shared" si="128"/>
        <v>18764.71</v>
      </c>
      <c r="F674" s="231">
        <f t="shared" si="128"/>
        <v>26400</v>
      </c>
      <c r="G674" s="231">
        <f t="shared" si="128"/>
        <v>21100</v>
      </c>
      <c r="H674" s="231">
        <f t="shared" si="128"/>
        <v>28900</v>
      </c>
      <c r="I674" s="231">
        <f t="shared" si="128"/>
        <v>28900</v>
      </c>
      <c r="J674" s="231">
        <f t="shared" si="128"/>
        <v>28900</v>
      </c>
    </row>
    <row r="675" spans="1:10" x14ac:dyDescent="0.2">
      <c r="A675" s="247"/>
      <c r="B675" s="247">
        <v>276</v>
      </c>
      <c r="C675" s="222" t="s">
        <v>229</v>
      </c>
      <c r="D675" s="222"/>
      <c r="E675" s="231">
        <f t="shared" si="128"/>
        <v>0</v>
      </c>
      <c r="F675" s="231">
        <f t="shared" si="128"/>
        <v>0</v>
      </c>
      <c r="G675" s="231">
        <f t="shared" si="128"/>
        <v>0</v>
      </c>
      <c r="H675" s="231">
        <f t="shared" si="128"/>
        <v>0</v>
      </c>
      <c r="I675" s="231">
        <f t="shared" si="128"/>
        <v>0</v>
      </c>
      <c r="J675" s="231">
        <f t="shared" si="128"/>
        <v>0</v>
      </c>
    </row>
    <row r="676" spans="1:10" x14ac:dyDescent="0.2">
      <c r="A676" s="247"/>
      <c r="B676" s="247">
        <v>277</v>
      </c>
      <c r="C676" s="222" t="s">
        <v>230</v>
      </c>
      <c r="D676" s="222"/>
      <c r="E676" s="231">
        <f t="shared" ref="E676:J687" si="129">SUMIF($A$69:$A$1058,$B676,E$69:E$1058)</f>
        <v>0</v>
      </c>
      <c r="F676" s="231">
        <f t="shared" si="129"/>
        <v>0</v>
      </c>
      <c r="G676" s="231">
        <f t="shared" si="129"/>
        <v>0</v>
      </c>
      <c r="H676" s="231">
        <f t="shared" si="129"/>
        <v>0</v>
      </c>
      <c r="I676" s="231">
        <f t="shared" si="129"/>
        <v>0</v>
      </c>
      <c r="J676" s="231">
        <f t="shared" si="129"/>
        <v>0</v>
      </c>
    </row>
    <row r="677" spans="1:10" x14ac:dyDescent="0.2">
      <c r="A677" s="247"/>
      <c r="B677" s="247">
        <v>278</v>
      </c>
      <c r="C677" s="222" t="s">
        <v>231</v>
      </c>
      <c r="D677" s="222"/>
      <c r="E677" s="231">
        <f t="shared" si="129"/>
        <v>0</v>
      </c>
      <c r="F677" s="231">
        <f t="shared" si="129"/>
        <v>0</v>
      </c>
      <c r="G677" s="231">
        <f t="shared" si="129"/>
        <v>0</v>
      </c>
      <c r="H677" s="231">
        <f t="shared" si="129"/>
        <v>0</v>
      </c>
      <c r="I677" s="231">
        <f t="shared" si="129"/>
        <v>0</v>
      </c>
      <c r="J677" s="231">
        <f t="shared" si="129"/>
        <v>0</v>
      </c>
    </row>
    <row r="678" spans="1:10" x14ac:dyDescent="0.2">
      <c r="A678" s="247"/>
      <c r="B678" s="247">
        <v>279</v>
      </c>
      <c r="C678" s="222" t="s">
        <v>232</v>
      </c>
      <c r="D678" s="222"/>
      <c r="E678" s="231">
        <f t="shared" si="129"/>
        <v>0</v>
      </c>
      <c r="F678" s="231">
        <f t="shared" si="129"/>
        <v>0</v>
      </c>
      <c r="G678" s="231">
        <f t="shared" si="129"/>
        <v>0</v>
      </c>
      <c r="H678" s="231">
        <f t="shared" si="129"/>
        <v>0</v>
      </c>
      <c r="I678" s="231">
        <f t="shared" si="129"/>
        <v>0</v>
      </c>
      <c r="J678" s="231">
        <f t="shared" si="129"/>
        <v>0</v>
      </c>
    </row>
    <row r="679" spans="1:10" x14ac:dyDescent="0.2">
      <c r="A679" s="247"/>
      <c r="B679" s="247">
        <v>280</v>
      </c>
      <c r="C679" s="222" t="s">
        <v>233</v>
      </c>
      <c r="D679" s="222"/>
      <c r="E679" s="231">
        <f t="shared" si="129"/>
        <v>0</v>
      </c>
      <c r="F679" s="231">
        <f t="shared" si="129"/>
        <v>60000</v>
      </c>
      <c r="G679" s="231">
        <f t="shared" si="129"/>
        <v>36400</v>
      </c>
      <c r="H679" s="231">
        <f t="shared" si="129"/>
        <v>30000</v>
      </c>
      <c r="I679" s="231">
        <f t="shared" si="129"/>
        <v>30000</v>
      </c>
      <c r="J679" s="231">
        <f t="shared" si="129"/>
        <v>30000</v>
      </c>
    </row>
    <row r="680" spans="1:10" x14ac:dyDescent="0.2">
      <c r="A680" s="247"/>
      <c r="B680" s="247">
        <v>281</v>
      </c>
      <c r="C680" s="222" t="s">
        <v>234</v>
      </c>
      <c r="D680" s="222"/>
      <c r="E680" s="231">
        <f t="shared" si="129"/>
        <v>27601.1</v>
      </c>
      <c r="F680" s="231">
        <f t="shared" si="129"/>
        <v>30000</v>
      </c>
      <c r="G680" s="231">
        <f t="shared" si="129"/>
        <v>30000</v>
      </c>
      <c r="H680" s="231">
        <f t="shared" si="129"/>
        <v>30000</v>
      </c>
      <c r="I680" s="231">
        <f t="shared" si="129"/>
        <v>30000</v>
      </c>
      <c r="J680" s="231">
        <f t="shared" si="129"/>
        <v>30000</v>
      </c>
    </row>
    <row r="681" spans="1:10" x14ac:dyDescent="0.2">
      <c r="A681" s="247"/>
      <c r="B681" s="247">
        <v>282</v>
      </c>
      <c r="C681" s="222" t="s">
        <v>235</v>
      </c>
      <c r="D681" s="222"/>
      <c r="E681" s="231">
        <f t="shared" si="129"/>
        <v>0</v>
      </c>
      <c r="F681" s="231">
        <f t="shared" si="129"/>
        <v>0</v>
      </c>
      <c r="G681" s="231">
        <f t="shared" si="129"/>
        <v>0</v>
      </c>
      <c r="H681" s="231">
        <f t="shared" si="129"/>
        <v>0</v>
      </c>
      <c r="I681" s="231">
        <f t="shared" si="129"/>
        <v>0</v>
      </c>
      <c r="J681" s="231">
        <f t="shared" si="129"/>
        <v>0</v>
      </c>
    </row>
    <row r="682" spans="1:10" x14ac:dyDescent="0.2">
      <c r="A682" s="247"/>
      <c r="B682" s="247">
        <v>283</v>
      </c>
      <c r="C682" s="222" t="s">
        <v>236</v>
      </c>
      <c r="D682" s="222"/>
      <c r="E682" s="231">
        <f t="shared" si="129"/>
        <v>0</v>
      </c>
      <c r="F682" s="231">
        <f t="shared" si="129"/>
        <v>0</v>
      </c>
      <c r="G682" s="231">
        <f t="shared" si="129"/>
        <v>0</v>
      </c>
      <c r="H682" s="231">
        <f t="shared" si="129"/>
        <v>0</v>
      </c>
      <c r="I682" s="231">
        <f t="shared" si="129"/>
        <v>0</v>
      </c>
      <c r="J682" s="231">
        <f t="shared" si="129"/>
        <v>0</v>
      </c>
    </row>
    <row r="683" spans="1:10" x14ac:dyDescent="0.2">
      <c r="A683" s="247"/>
      <c r="B683" s="247">
        <v>290</v>
      </c>
      <c r="C683" s="222" t="s">
        <v>238</v>
      </c>
      <c r="D683" s="222"/>
      <c r="E683" s="231">
        <f t="shared" si="129"/>
        <v>0</v>
      </c>
      <c r="F683" s="231">
        <f t="shared" si="129"/>
        <v>0</v>
      </c>
      <c r="G683" s="231">
        <f t="shared" si="129"/>
        <v>0</v>
      </c>
      <c r="H683" s="231">
        <f t="shared" si="129"/>
        <v>0</v>
      </c>
      <c r="I683" s="231">
        <f t="shared" si="129"/>
        <v>0</v>
      </c>
      <c r="J683" s="231">
        <f t="shared" si="129"/>
        <v>0</v>
      </c>
    </row>
    <row r="684" spans="1:10" x14ac:dyDescent="0.2">
      <c r="A684" s="247"/>
      <c r="B684" s="247">
        <v>292</v>
      </c>
      <c r="C684" s="222" t="s">
        <v>239</v>
      </c>
      <c r="D684" s="222"/>
      <c r="E684" s="231">
        <f t="shared" si="129"/>
        <v>0</v>
      </c>
      <c r="F684" s="231">
        <f t="shared" si="129"/>
        <v>0</v>
      </c>
      <c r="G684" s="231">
        <f t="shared" si="129"/>
        <v>0</v>
      </c>
      <c r="H684" s="231">
        <f t="shared" si="129"/>
        <v>0</v>
      </c>
      <c r="I684" s="231">
        <f t="shared" si="129"/>
        <v>0</v>
      </c>
      <c r="J684" s="231">
        <f t="shared" si="129"/>
        <v>0</v>
      </c>
    </row>
    <row r="685" spans="1:10" x14ac:dyDescent="0.2">
      <c r="A685" s="247"/>
      <c r="B685" s="247">
        <v>293</v>
      </c>
      <c r="C685" s="222" t="s">
        <v>240</v>
      </c>
      <c r="D685" s="222"/>
      <c r="E685" s="231">
        <f t="shared" si="129"/>
        <v>0</v>
      </c>
      <c r="F685" s="231">
        <f t="shared" si="129"/>
        <v>0</v>
      </c>
      <c r="G685" s="231">
        <f t="shared" si="129"/>
        <v>0</v>
      </c>
      <c r="H685" s="231">
        <f t="shared" si="129"/>
        <v>0</v>
      </c>
      <c r="I685" s="231">
        <f t="shared" si="129"/>
        <v>0</v>
      </c>
      <c r="J685" s="231">
        <f t="shared" si="129"/>
        <v>0</v>
      </c>
    </row>
    <row r="686" spans="1:10" x14ac:dyDescent="0.2">
      <c r="A686" s="222"/>
      <c r="B686" s="247"/>
      <c r="C686" s="229" t="s">
        <v>1445</v>
      </c>
      <c r="D686" s="240"/>
      <c r="E686" s="248">
        <f t="shared" ref="E686:J686" si="130">SUM(E644:E685)</f>
        <v>4848774.6500000004</v>
      </c>
      <c r="F686" s="248">
        <f t="shared" si="130"/>
        <v>6003800</v>
      </c>
      <c r="G686" s="248">
        <f t="shared" si="130"/>
        <v>5685400</v>
      </c>
      <c r="H686" s="248">
        <f t="shared" si="130"/>
        <v>6418100</v>
      </c>
      <c r="I686" s="248">
        <f t="shared" si="130"/>
        <v>6649500</v>
      </c>
      <c r="J686" s="248">
        <f t="shared" si="130"/>
        <v>6650000</v>
      </c>
    </row>
  </sheetData>
  <mergeCells count="633">
    <mergeCell ref="A582:E582"/>
    <mergeCell ref="A583:E583"/>
    <mergeCell ref="A576:E576"/>
    <mergeCell ref="A577:J577"/>
    <mergeCell ref="A578:E578"/>
    <mergeCell ref="A579:E579"/>
    <mergeCell ref="A580:E580"/>
    <mergeCell ref="A581:E581"/>
    <mergeCell ref="A570:E570"/>
    <mergeCell ref="A571:E571"/>
    <mergeCell ref="A572:E572"/>
    <mergeCell ref="A573:E573"/>
    <mergeCell ref="A574:E574"/>
    <mergeCell ref="A575:E575"/>
    <mergeCell ref="A564:J564"/>
    <mergeCell ref="A565:J565"/>
    <mergeCell ref="A566:J566"/>
    <mergeCell ref="A567:J567"/>
    <mergeCell ref="A568:E568"/>
    <mergeCell ref="A569:J569"/>
    <mergeCell ref="A558:J558"/>
    <mergeCell ref="A559:J559"/>
    <mergeCell ref="A560:J560"/>
    <mergeCell ref="A561:J561"/>
    <mergeCell ref="A562:J562"/>
    <mergeCell ref="A563:J563"/>
    <mergeCell ref="A552:C552"/>
    <mergeCell ref="A553:C553"/>
    <mergeCell ref="A554:C554"/>
    <mergeCell ref="A555:C555"/>
    <mergeCell ref="A556:D556"/>
    <mergeCell ref="A557:J557"/>
    <mergeCell ref="C546:D546"/>
    <mergeCell ref="C547:D547"/>
    <mergeCell ref="C548:D548"/>
    <mergeCell ref="A549:D549"/>
    <mergeCell ref="A550:J550"/>
    <mergeCell ref="A551:J551"/>
    <mergeCell ref="A542:D542"/>
    <mergeCell ref="A543:I543"/>
    <mergeCell ref="A544:J544"/>
    <mergeCell ref="A545:D545"/>
    <mergeCell ref="E545:E546"/>
    <mergeCell ref="F545:F546"/>
    <mergeCell ref="G545:G546"/>
    <mergeCell ref="H545:H546"/>
    <mergeCell ref="I545:I546"/>
    <mergeCell ref="J545:J546"/>
    <mergeCell ref="B536:D536"/>
    <mergeCell ref="B537:D537"/>
    <mergeCell ref="B538:D538"/>
    <mergeCell ref="B539:D539"/>
    <mergeCell ref="B540:D540"/>
    <mergeCell ref="A541:D541"/>
    <mergeCell ref="B530:D530"/>
    <mergeCell ref="B531:D531"/>
    <mergeCell ref="B532:D532"/>
    <mergeCell ref="B533:D533"/>
    <mergeCell ref="A534:D534"/>
    <mergeCell ref="A535:I535"/>
    <mergeCell ref="B524:D524"/>
    <mergeCell ref="A525:D525"/>
    <mergeCell ref="A526:J526"/>
    <mergeCell ref="A527:J527"/>
    <mergeCell ref="B528:D528"/>
    <mergeCell ref="A529:I529"/>
    <mergeCell ref="A518:J518"/>
    <mergeCell ref="A519:J519"/>
    <mergeCell ref="A520:J520"/>
    <mergeCell ref="A521:J521"/>
    <mergeCell ref="B522:D522"/>
    <mergeCell ref="B523:D523"/>
    <mergeCell ref="A511:E511"/>
    <mergeCell ref="A512:E512"/>
    <mergeCell ref="A513:J513"/>
    <mergeCell ref="A514:E514"/>
    <mergeCell ref="A515:E515"/>
    <mergeCell ref="A516:E516"/>
    <mergeCell ref="A505:J505"/>
    <mergeCell ref="A506:E506"/>
    <mergeCell ref="A507:J507"/>
    <mergeCell ref="A508:E508"/>
    <mergeCell ref="A509:E509"/>
    <mergeCell ref="A510:E510"/>
    <mergeCell ref="A499:J499"/>
    <mergeCell ref="A500:J500"/>
    <mergeCell ref="A501:J501"/>
    <mergeCell ref="A502:J502"/>
    <mergeCell ref="A503:J503"/>
    <mergeCell ref="A504:J504"/>
    <mergeCell ref="A493:J493"/>
    <mergeCell ref="A494:J494"/>
    <mergeCell ref="A495:J495"/>
    <mergeCell ref="A496:J496"/>
    <mergeCell ref="A497:J497"/>
    <mergeCell ref="A498:J498"/>
    <mergeCell ref="A488:C488"/>
    <mergeCell ref="F488:H488"/>
    <mergeCell ref="A489:I489"/>
    <mergeCell ref="A490:J490"/>
    <mergeCell ref="A491:J491"/>
    <mergeCell ref="A492:J492"/>
    <mergeCell ref="A484:J484"/>
    <mergeCell ref="A485:C485"/>
    <mergeCell ref="F485:H485"/>
    <mergeCell ref="A486:C486"/>
    <mergeCell ref="F486:H486"/>
    <mergeCell ref="A487:C487"/>
    <mergeCell ref="F487:H487"/>
    <mergeCell ref="J478:J479"/>
    <mergeCell ref="C479:D479"/>
    <mergeCell ref="C480:D480"/>
    <mergeCell ref="C481:D481"/>
    <mergeCell ref="A482:D482"/>
    <mergeCell ref="A483:J483"/>
    <mergeCell ref="A478:D478"/>
    <mergeCell ref="E478:E479"/>
    <mergeCell ref="F478:F479"/>
    <mergeCell ref="G478:G479"/>
    <mergeCell ref="H478:H479"/>
    <mergeCell ref="I478:I479"/>
    <mergeCell ref="B472:D472"/>
    <mergeCell ref="B473:D473"/>
    <mergeCell ref="A474:D474"/>
    <mergeCell ref="A475:D475"/>
    <mergeCell ref="A476:I476"/>
    <mergeCell ref="A477:J477"/>
    <mergeCell ref="B466:D466"/>
    <mergeCell ref="A467:D467"/>
    <mergeCell ref="A468:I468"/>
    <mergeCell ref="B469:D469"/>
    <mergeCell ref="B470:D470"/>
    <mergeCell ref="B471:D471"/>
    <mergeCell ref="A460:J460"/>
    <mergeCell ref="B461:D461"/>
    <mergeCell ref="A462:I462"/>
    <mergeCell ref="B463:D463"/>
    <mergeCell ref="B464:D464"/>
    <mergeCell ref="B465:D465"/>
    <mergeCell ref="A454:J454"/>
    <mergeCell ref="A455:J455"/>
    <mergeCell ref="B456:D456"/>
    <mergeCell ref="B457:D457"/>
    <mergeCell ref="A458:D458"/>
    <mergeCell ref="A459:J459"/>
    <mergeCell ref="A448:E448"/>
    <mergeCell ref="A449:E449"/>
    <mergeCell ref="A450:E450"/>
    <mergeCell ref="A451:J451"/>
    <mergeCell ref="A452:J452"/>
    <mergeCell ref="A453:J453"/>
    <mergeCell ref="A442:E442"/>
    <mergeCell ref="A443:E443"/>
    <mergeCell ref="A444:E444"/>
    <mergeCell ref="A445:E445"/>
    <mergeCell ref="A446:J446"/>
    <mergeCell ref="A447:E447"/>
    <mergeCell ref="A436:J436"/>
    <mergeCell ref="A437:J437"/>
    <mergeCell ref="A438:J438"/>
    <mergeCell ref="A439:E439"/>
    <mergeCell ref="A440:J440"/>
    <mergeCell ref="A441:E441"/>
    <mergeCell ref="A430:J430"/>
    <mergeCell ref="A431:J431"/>
    <mergeCell ref="A432:J432"/>
    <mergeCell ref="A433:J433"/>
    <mergeCell ref="A434:J434"/>
    <mergeCell ref="A435:J435"/>
    <mergeCell ref="A424:I424"/>
    <mergeCell ref="A425:J425"/>
    <mergeCell ref="A426:J426"/>
    <mergeCell ref="A427:J427"/>
    <mergeCell ref="A428:J428"/>
    <mergeCell ref="A429:J429"/>
    <mergeCell ref="A421:C421"/>
    <mergeCell ref="F421:H421"/>
    <mergeCell ref="A422:C422"/>
    <mergeCell ref="F422:H422"/>
    <mergeCell ref="A423:C423"/>
    <mergeCell ref="F423:H423"/>
    <mergeCell ref="A417:J417"/>
    <mergeCell ref="A418:C418"/>
    <mergeCell ref="F418:H418"/>
    <mergeCell ref="A419:C419"/>
    <mergeCell ref="F419:H419"/>
    <mergeCell ref="A420:C420"/>
    <mergeCell ref="F420:H420"/>
    <mergeCell ref="J411:J412"/>
    <mergeCell ref="C412:D412"/>
    <mergeCell ref="C413:D413"/>
    <mergeCell ref="C414:D414"/>
    <mergeCell ref="A415:D415"/>
    <mergeCell ref="A416:J416"/>
    <mergeCell ref="A411:D411"/>
    <mergeCell ref="E411:E412"/>
    <mergeCell ref="F411:F412"/>
    <mergeCell ref="G411:G412"/>
    <mergeCell ref="H411:H412"/>
    <mergeCell ref="I411:I412"/>
    <mergeCell ref="B399:D399"/>
    <mergeCell ref="A400:D400"/>
    <mergeCell ref="A401:I401"/>
    <mergeCell ref="A408:D408"/>
    <mergeCell ref="A409:D409"/>
    <mergeCell ref="A410:J410"/>
    <mergeCell ref="A393:J393"/>
    <mergeCell ref="B394:D394"/>
    <mergeCell ref="A395:I395"/>
    <mergeCell ref="B396:D396"/>
    <mergeCell ref="B397:D397"/>
    <mergeCell ref="B398:D398"/>
    <mergeCell ref="A387:J387"/>
    <mergeCell ref="A388:J388"/>
    <mergeCell ref="B389:D389"/>
    <mergeCell ref="B390:D390"/>
    <mergeCell ref="A391:D391"/>
    <mergeCell ref="A392:J392"/>
    <mergeCell ref="A381:E381"/>
    <mergeCell ref="A382:E382"/>
    <mergeCell ref="A383:E383"/>
    <mergeCell ref="A384:J384"/>
    <mergeCell ref="A385:J385"/>
    <mergeCell ref="A386:J386"/>
    <mergeCell ref="A375:E375"/>
    <mergeCell ref="A376:E376"/>
    <mergeCell ref="A377:J377"/>
    <mergeCell ref="A378:E378"/>
    <mergeCell ref="A379:E379"/>
    <mergeCell ref="A380:E380"/>
    <mergeCell ref="A369:J369"/>
    <mergeCell ref="A370:E370"/>
    <mergeCell ref="A371:E371"/>
    <mergeCell ref="A372:E372"/>
    <mergeCell ref="A373:E373"/>
    <mergeCell ref="A374:E374"/>
    <mergeCell ref="A363:J363"/>
    <mergeCell ref="A364:J364"/>
    <mergeCell ref="A365:J365"/>
    <mergeCell ref="A366:J366"/>
    <mergeCell ref="A367:J367"/>
    <mergeCell ref="A368:E368"/>
    <mergeCell ref="A357:I357"/>
    <mergeCell ref="A358:J358"/>
    <mergeCell ref="A359:J359"/>
    <mergeCell ref="A360:J360"/>
    <mergeCell ref="A361:J361"/>
    <mergeCell ref="A362:J362"/>
    <mergeCell ref="A354:C354"/>
    <mergeCell ref="F354:H354"/>
    <mergeCell ref="A355:C355"/>
    <mergeCell ref="F355:H355"/>
    <mergeCell ref="A356:C356"/>
    <mergeCell ref="F356:H356"/>
    <mergeCell ref="A351:C351"/>
    <mergeCell ref="F351:H351"/>
    <mergeCell ref="A352:C352"/>
    <mergeCell ref="F352:H352"/>
    <mergeCell ref="A353:C353"/>
    <mergeCell ref="F353:H353"/>
    <mergeCell ref="C345:D345"/>
    <mergeCell ref="C346:D346"/>
    <mergeCell ref="A347:D347"/>
    <mergeCell ref="A348:J348"/>
    <mergeCell ref="A349:J349"/>
    <mergeCell ref="A350:C350"/>
    <mergeCell ref="F350:H350"/>
    <mergeCell ref="A341:D341"/>
    <mergeCell ref="A342:J342"/>
    <mergeCell ref="A343:D343"/>
    <mergeCell ref="E343:E344"/>
    <mergeCell ref="F343:F344"/>
    <mergeCell ref="G343:G344"/>
    <mergeCell ref="H343:H344"/>
    <mergeCell ref="I343:I344"/>
    <mergeCell ref="J343:J344"/>
    <mergeCell ref="C344:D344"/>
    <mergeCell ref="B335:D335"/>
    <mergeCell ref="B336:D336"/>
    <mergeCell ref="B337:D337"/>
    <mergeCell ref="B338:D338"/>
    <mergeCell ref="B339:D339"/>
    <mergeCell ref="A340:D340"/>
    <mergeCell ref="B329:D329"/>
    <mergeCell ref="B330:D330"/>
    <mergeCell ref="B331:D331"/>
    <mergeCell ref="A332:D332"/>
    <mergeCell ref="A333:I333"/>
    <mergeCell ref="B334:D334"/>
    <mergeCell ref="A323:D323"/>
    <mergeCell ref="A324:J324"/>
    <mergeCell ref="A325:J325"/>
    <mergeCell ref="B326:D326"/>
    <mergeCell ref="A327:I327"/>
    <mergeCell ref="B328:D328"/>
    <mergeCell ref="B317:D317"/>
    <mergeCell ref="B318:D318"/>
    <mergeCell ref="B319:D319"/>
    <mergeCell ref="B320:D320"/>
    <mergeCell ref="B321:D321"/>
    <mergeCell ref="B322:D322"/>
    <mergeCell ref="A311:E311"/>
    <mergeCell ref="A312:J312"/>
    <mergeCell ref="A313:J313"/>
    <mergeCell ref="A314:J314"/>
    <mergeCell ref="A315:J315"/>
    <mergeCell ref="A316:J316"/>
    <mergeCell ref="A305:E305"/>
    <mergeCell ref="A306:E306"/>
    <mergeCell ref="A307:E307"/>
    <mergeCell ref="A308:E308"/>
    <mergeCell ref="A309:E309"/>
    <mergeCell ref="A310:J310"/>
    <mergeCell ref="A299:J299"/>
    <mergeCell ref="A300:J300"/>
    <mergeCell ref="A301:J301"/>
    <mergeCell ref="A302:J302"/>
    <mergeCell ref="A303:E303"/>
    <mergeCell ref="A304:J304"/>
    <mergeCell ref="A293:J293"/>
    <mergeCell ref="A294:J294"/>
    <mergeCell ref="A295:J295"/>
    <mergeCell ref="A296:J296"/>
    <mergeCell ref="A297:J297"/>
    <mergeCell ref="A298:J298"/>
    <mergeCell ref="A289:C289"/>
    <mergeCell ref="F289:H289"/>
    <mergeCell ref="A290:C290"/>
    <mergeCell ref="F290:H290"/>
    <mergeCell ref="A291:I291"/>
    <mergeCell ref="A292:J292"/>
    <mergeCell ref="A286:C286"/>
    <mergeCell ref="F286:H286"/>
    <mergeCell ref="A287:C287"/>
    <mergeCell ref="F287:H287"/>
    <mergeCell ref="A288:C288"/>
    <mergeCell ref="F288:H288"/>
    <mergeCell ref="A281:D281"/>
    <mergeCell ref="A282:J282"/>
    <mergeCell ref="A283:J283"/>
    <mergeCell ref="A284:C284"/>
    <mergeCell ref="F284:H284"/>
    <mergeCell ref="A285:C285"/>
    <mergeCell ref="F285:H285"/>
    <mergeCell ref="I276:I277"/>
    <mergeCell ref="J276:J277"/>
    <mergeCell ref="C277:D277"/>
    <mergeCell ref="C278:D278"/>
    <mergeCell ref="C279:D279"/>
    <mergeCell ref="C280:D280"/>
    <mergeCell ref="B271:D271"/>
    <mergeCell ref="A272:D272"/>
    <mergeCell ref="A273:D273"/>
    <mergeCell ref="A274:I274"/>
    <mergeCell ref="A275:J275"/>
    <mergeCell ref="A276:D276"/>
    <mergeCell ref="E276:E277"/>
    <mergeCell ref="F276:F277"/>
    <mergeCell ref="G276:G277"/>
    <mergeCell ref="H276:H277"/>
    <mergeCell ref="B265:D265"/>
    <mergeCell ref="B266:D266"/>
    <mergeCell ref="B267:D267"/>
    <mergeCell ref="B268:D268"/>
    <mergeCell ref="B269:D269"/>
    <mergeCell ref="B270:D270"/>
    <mergeCell ref="B259:D259"/>
    <mergeCell ref="B260:D260"/>
    <mergeCell ref="B261:D261"/>
    <mergeCell ref="B262:D262"/>
    <mergeCell ref="A263:D263"/>
    <mergeCell ref="A264:I264"/>
    <mergeCell ref="B253:D253"/>
    <mergeCell ref="A254:D254"/>
    <mergeCell ref="A255:J255"/>
    <mergeCell ref="A256:J256"/>
    <mergeCell ref="B257:D257"/>
    <mergeCell ref="A258:I258"/>
    <mergeCell ref="B247:D247"/>
    <mergeCell ref="B248:D248"/>
    <mergeCell ref="B249:D249"/>
    <mergeCell ref="B250:D250"/>
    <mergeCell ref="B251:D251"/>
    <mergeCell ref="B252:D252"/>
    <mergeCell ref="A241:J241"/>
    <mergeCell ref="A242:J242"/>
    <mergeCell ref="A243:J243"/>
    <mergeCell ref="A244:J244"/>
    <mergeCell ref="A245:J245"/>
    <mergeCell ref="B246:D246"/>
    <mergeCell ref="A235:E235"/>
    <mergeCell ref="A236:E236"/>
    <mergeCell ref="A237:J237"/>
    <mergeCell ref="A238:E238"/>
    <mergeCell ref="A239:E239"/>
    <mergeCell ref="A240:E240"/>
    <mergeCell ref="A229:J229"/>
    <mergeCell ref="A230:E230"/>
    <mergeCell ref="A231:J231"/>
    <mergeCell ref="A232:E232"/>
    <mergeCell ref="A233:E233"/>
    <mergeCell ref="A234:E234"/>
    <mergeCell ref="A223:J223"/>
    <mergeCell ref="A224:J224"/>
    <mergeCell ref="A225:J225"/>
    <mergeCell ref="A226:J226"/>
    <mergeCell ref="A227:J227"/>
    <mergeCell ref="A228:J228"/>
    <mergeCell ref="A217:I217"/>
    <mergeCell ref="A218:J218"/>
    <mergeCell ref="A219:J219"/>
    <mergeCell ref="A220:J220"/>
    <mergeCell ref="A221:J221"/>
    <mergeCell ref="A222:J222"/>
    <mergeCell ref="A214:C214"/>
    <mergeCell ref="F214:H214"/>
    <mergeCell ref="A215:C215"/>
    <mergeCell ref="F215:H215"/>
    <mergeCell ref="A216:C216"/>
    <mergeCell ref="F216:H216"/>
    <mergeCell ref="A211:C211"/>
    <mergeCell ref="F211:H211"/>
    <mergeCell ref="A212:C212"/>
    <mergeCell ref="F212:H212"/>
    <mergeCell ref="A213:C213"/>
    <mergeCell ref="F213:H213"/>
    <mergeCell ref="A208:C208"/>
    <mergeCell ref="F208:H208"/>
    <mergeCell ref="A209:C209"/>
    <mergeCell ref="F209:H209"/>
    <mergeCell ref="A210:C210"/>
    <mergeCell ref="F210:H210"/>
    <mergeCell ref="A204:J204"/>
    <mergeCell ref="A205:J205"/>
    <mergeCell ref="A206:C206"/>
    <mergeCell ref="F206:H206"/>
    <mergeCell ref="A207:C207"/>
    <mergeCell ref="F207:H207"/>
    <mergeCell ref="I199:I200"/>
    <mergeCell ref="J199:J200"/>
    <mergeCell ref="C200:D200"/>
    <mergeCell ref="C201:D201"/>
    <mergeCell ref="C202:D202"/>
    <mergeCell ref="A203:D203"/>
    <mergeCell ref="A188:I188"/>
    <mergeCell ref="A195:D195"/>
    <mergeCell ref="A196:D196"/>
    <mergeCell ref="A197:J197"/>
    <mergeCell ref="A198:J198"/>
    <mergeCell ref="A199:D199"/>
    <mergeCell ref="E199:E200"/>
    <mergeCell ref="F199:F200"/>
    <mergeCell ref="G199:G200"/>
    <mergeCell ref="H199:H200"/>
    <mergeCell ref="A182:I182"/>
    <mergeCell ref="B183:D183"/>
    <mergeCell ref="B184:D184"/>
    <mergeCell ref="B185:D185"/>
    <mergeCell ref="B186:D186"/>
    <mergeCell ref="A187:D187"/>
    <mergeCell ref="B176:D176"/>
    <mergeCell ref="B177:D177"/>
    <mergeCell ref="A178:D178"/>
    <mergeCell ref="A179:J179"/>
    <mergeCell ref="A180:J180"/>
    <mergeCell ref="B181:D181"/>
    <mergeCell ref="B170:D170"/>
    <mergeCell ref="B171:D171"/>
    <mergeCell ref="B172:D172"/>
    <mergeCell ref="B173:D173"/>
    <mergeCell ref="B174:D174"/>
    <mergeCell ref="B175:D175"/>
    <mergeCell ref="A164:E164"/>
    <mergeCell ref="A165:E165"/>
    <mergeCell ref="A166:J166"/>
    <mergeCell ref="A167:C167"/>
    <mergeCell ref="A168:J168"/>
    <mergeCell ref="A169:J169"/>
    <mergeCell ref="A158:E158"/>
    <mergeCell ref="A159:E159"/>
    <mergeCell ref="A160:E160"/>
    <mergeCell ref="A161:J161"/>
    <mergeCell ref="A162:E162"/>
    <mergeCell ref="A163:E163"/>
    <mergeCell ref="A152:J152"/>
    <mergeCell ref="A153:E153"/>
    <mergeCell ref="A154:J154"/>
    <mergeCell ref="A155:E155"/>
    <mergeCell ref="A156:E156"/>
    <mergeCell ref="A157:E157"/>
    <mergeCell ref="A146:J146"/>
    <mergeCell ref="A147:J147"/>
    <mergeCell ref="A148:J148"/>
    <mergeCell ref="A149:J149"/>
    <mergeCell ref="A150:J150"/>
    <mergeCell ref="A151:J151"/>
    <mergeCell ref="A140:I140"/>
    <mergeCell ref="A141:J141"/>
    <mergeCell ref="A142:J142"/>
    <mergeCell ref="A143:J143"/>
    <mergeCell ref="A144:J144"/>
    <mergeCell ref="A145:J145"/>
    <mergeCell ref="A137:C137"/>
    <mergeCell ref="F137:H137"/>
    <mergeCell ref="A138:C138"/>
    <mergeCell ref="F138:H138"/>
    <mergeCell ref="A139:C139"/>
    <mergeCell ref="F139:H139"/>
    <mergeCell ref="A134:C134"/>
    <mergeCell ref="F134:H134"/>
    <mergeCell ref="A135:C135"/>
    <mergeCell ref="F135:H135"/>
    <mergeCell ref="A136:C136"/>
    <mergeCell ref="F136:H136"/>
    <mergeCell ref="I121:I122"/>
    <mergeCell ref="J121:J122"/>
    <mergeCell ref="C122:D122"/>
    <mergeCell ref="A131:D131"/>
    <mergeCell ref="A132:J132"/>
    <mergeCell ref="A133:J133"/>
    <mergeCell ref="B116:D116"/>
    <mergeCell ref="A117:D117"/>
    <mergeCell ref="A118:D118"/>
    <mergeCell ref="A119:J119"/>
    <mergeCell ref="A120:J120"/>
    <mergeCell ref="A121:D121"/>
    <mergeCell ref="E121:E122"/>
    <mergeCell ref="F121:F122"/>
    <mergeCell ref="G121:G122"/>
    <mergeCell ref="H121:H122"/>
    <mergeCell ref="B110:D110"/>
    <mergeCell ref="B111:D111"/>
    <mergeCell ref="B112:D112"/>
    <mergeCell ref="B113:D113"/>
    <mergeCell ref="B114:D114"/>
    <mergeCell ref="B115:D115"/>
    <mergeCell ref="A104:I104"/>
    <mergeCell ref="B105:D105"/>
    <mergeCell ref="B106:D106"/>
    <mergeCell ref="B107:D107"/>
    <mergeCell ref="B108:D108"/>
    <mergeCell ref="B109:D109"/>
    <mergeCell ref="A98:I98"/>
    <mergeCell ref="B99:D99"/>
    <mergeCell ref="B100:D100"/>
    <mergeCell ref="B101:D101"/>
    <mergeCell ref="B102:D102"/>
    <mergeCell ref="A103:D103"/>
    <mergeCell ref="B92:D92"/>
    <mergeCell ref="B93:D93"/>
    <mergeCell ref="A94:D94"/>
    <mergeCell ref="A95:J95"/>
    <mergeCell ref="A96:J96"/>
    <mergeCell ref="B97:D97"/>
    <mergeCell ref="A86:J86"/>
    <mergeCell ref="A87:J87"/>
    <mergeCell ref="B88:D88"/>
    <mergeCell ref="B89:D89"/>
    <mergeCell ref="B90:D90"/>
    <mergeCell ref="B91:D91"/>
    <mergeCell ref="A80:J80"/>
    <mergeCell ref="A81:J81"/>
    <mergeCell ref="A82:D82"/>
    <mergeCell ref="A83:J83"/>
    <mergeCell ref="A84:J84"/>
    <mergeCell ref="A85:C85"/>
    <mergeCell ref="D85:J85"/>
    <mergeCell ref="A66:J66"/>
    <mergeCell ref="A67:J67"/>
    <mergeCell ref="C68:D68"/>
    <mergeCell ref="A77:D77"/>
    <mergeCell ref="A78:J78"/>
    <mergeCell ref="A79:D79"/>
    <mergeCell ref="B60:D60"/>
    <mergeCell ref="B61:D61"/>
    <mergeCell ref="B62:D62"/>
    <mergeCell ref="B63:D63"/>
    <mergeCell ref="B64:D64"/>
    <mergeCell ref="A65:D65"/>
    <mergeCell ref="B54:D54"/>
    <mergeCell ref="B55:D55"/>
    <mergeCell ref="A56:D56"/>
    <mergeCell ref="A57:D57"/>
    <mergeCell ref="A58:J58"/>
    <mergeCell ref="A59:J59"/>
    <mergeCell ref="A48:J48"/>
    <mergeCell ref="B49:D49"/>
    <mergeCell ref="B50:D50"/>
    <mergeCell ref="B51:D51"/>
    <mergeCell ref="B52:D52"/>
    <mergeCell ref="B53:D53"/>
    <mergeCell ref="B42:D42"/>
    <mergeCell ref="B43:D43"/>
    <mergeCell ref="B44:D44"/>
    <mergeCell ref="B45:D45"/>
    <mergeCell ref="A46:D46"/>
    <mergeCell ref="A47:J47"/>
    <mergeCell ref="A36:J36"/>
    <mergeCell ref="B37:D37"/>
    <mergeCell ref="A38:J38"/>
    <mergeCell ref="B39:D39"/>
    <mergeCell ref="B40:D40"/>
    <mergeCell ref="B41:D41"/>
    <mergeCell ref="A30:J30"/>
    <mergeCell ref="A31:J31"/>
    <mergeCell ref="A32:J32"/>
    <mergeCell ref="A33:J33"/>
    <mergeCell ref="A34:J34"/>
    <mergeCell ref="A35:J35"/>
    <mergeCell ref="A24:J24"/>
    <mergeCell ref="A25:J25"/>
    <mergeCell ref="A26:J26"/>
    <mergeCell ref="A27:J27"/>
    <mergeCell ref="A28:J28"/>
    <mergeCell ref="A29:J29"/>
    <mergeCell ref="A18:J18"/>
    <mergeCell ref="A19:J19"/>
    <mergeCell ref="A20:J20"/>
    <mergeCell ref="A21:J21"/>
    <mergeCell ref="A22:J22"/>
    <mergeCell ref="A23:J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fitToHeight="0" orientation="portrait" r:id="rId1"/>
  <rowBreaks count="16" manualBreakCount="16">
    <brk id="56" max="9" man="1"/>
    <brk id="83" max="9" man="1"/>
    <brk id="119" max="9" man="1"/>
    <brk id="165" max="9" man="1"/>
    <brk id="204" max="9" man="1"/>
    <brk id="241" max="9" man="1"/>
    <brk id="282" max="9" man="1"/>
    <brk id="312" max="9" man="1"/>
    <brk id="357" max="9" man="1"/>
    <brk id="384" max="9" man="1"/>
    <brk id="425" max="9" man="1"/>
    <brk id="451" max="9" man="1"/>
    <brk id="490" max="9" man="1"/>
    <brk id="517" max="9" man="1"/>
    <brk id="584" max="9" man="1"/>
    <brk id="64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40"/>
  <sheetViews>
    <sheet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ht="15" customHeight="1" x14ac:dyDescent="0.2">
      <c r="A1" s="98" t="s">
        <v>254</v>
      </c>
      <c r="B1" s="98"/>
      <c r="C1" s="99"/>
      <c r="D1" s="99"/>
      <c r="E1" s="99"/>
      <c r="F1" s="99"/>
      <c r="G1" s="99"/>
      <c r="H1" s="99"/>
      <c r="I1" s="99"/>
      <c r="J1" s="99"/>
    </row>
    <row r="2" spans="1:10" ht="15" customHeight="1" x14ac:dyDescent="0.2">
      <c r="A2" s="98" t="s">
        <v>1446</v>
      </c>
      <c r="B2" s="98"/>
      <c r="C2" s="101"/>
      <c r="D2" s="101"/>
      <c r="E2" s="101"/>
      <c r="F2" s="101"/>
      <c r="G2" s="101"/>
      <c r="H2" s="101"/>
      <c r="I2" s="101"/>
      <c r="J2" s="101"/>
    </row>
    <row r="3" spans="1:10" ht="15" thickBot="1" x14ac:dyDescent="0.25">
      <c r="A3" s="409"/>
      <c r="B3" s="409"/>
      <c r="C3" s="409"/>
      <c r="D3" s="409"/>
      <c r="E3" s="409"/>
      <c r="F3" s="409"/>
      <c r="G3" s="409"/>
      <c r="H3" s="409"/>
      <c r="I3" s="409"/>
      <c r="J3" s="409"/>
    </row>
    <row r="4" spans="1:10" x14ac:dyDescent="0.2">
      <c r="A4" s="253" t="s">
        <v>256</v>
      </c>
      <c r="B4" s="254" t="s">
        <v>257</v>
      </c>
      <c r="C4" s="254"/>
      <c r="D4" s="254"/>
      <c r="E4" s="254"/>
      <c r="F4" s="254"/>
      <c r="G4" s="255"/>
      <c r="H4" s="255"/>
      <c r="I4" s="255"/>
      <c r="J4" s="256"/>
    </row>
    <row r="5" spans="1:10" x14ac:dyDescent="0.2">
      <c r="A5" s="109"/>
      <c r="B5" s="106" t="s">
        <v>1447</v>
      </c>
      <c r="C5" s="110"/>
      <c r="D5" s="110"/>
      <c r="E5" s="106"/>
      <c r="F5" s="106"/>
      <c r="G5" s="111"/>
      <c r="H5" s="111"/>
      <c r="I5" s="111"/>
      <c r="J5" s="112"/>
    </row>
    <row r="6" spans="1:10" x14ac:dyDescent="0.2">
      <c r="A6" s="109"/>
      <c r="B6" s="106" t="s">
        <v>1448</v>
      </c>
      <c r="C6" s="110"/>
      <c r="D6" s="110"/>
      <c r="E6" s="106"/>
      <c r="F6" s="106"/>
      <c r="G6" s="111"/>
      <c r="H6" s="111"/>
      <c r="I6" s="111"/>
      <c r="J6" s="112">
        <f>H67</f>
        <v>32800300</v>
      </c>
    </row>
    <row r="7" spans="1:10" x14ac:dyDescent="0.2">
      <c r="A7" s="115" t="s">
        <v>260</v>
      </c>
      <c r="B7" s="116" t="s">
        <v>261</v>
      </c>
      <c r="C7" s="116"/>
      <c r="D7" s="116" t="s">
        <v>821</v>
      </c>
      <c r="E7" s="116"/>
      <c r="F7" s="117"/>
      <c r="G7" s="117"/>
      <c r="H7" s="117"/>
      <c r="I7" s="117"/>
      <c r="J7" s="118"/>
    </row>
    <row r="8" spans="1:10" ht="15" thickBot="1" x14ac:dyDescent="0.25">
      <c r="A8" s="119" t="s">
        <v>263</v>
      </c>
      <c r="B8" s="121" t="s">
        <v>822</v>
      </c>
      <c r="C8" s="121"/>
      <c r="D8" s="121"/>
      <c r="E8" s="121"/>
      <c r="F8" s="123"/>
      <c r="G8" s="123"/>
      <c r="H8" s="123"/>
      <c r="I8" s="123"/>
      <c r="J8" s="124"/>
    </row>
    <row r="9" spans="1:10" ht="15" x14ac:dyDescent="0.2">
      <c r="A9" s="445"/>
      <c r="B9" s="446"/>
      <c r="C9" s="446"/>
      <c r="D9" s="446"/>
      <c r="E9" s="446"/>
      <c r="F9" s="446"/>
      <c r="G9" s="446"/>
      <c r="H9" s="446"/>
      <c r="I9" s="446"/>
      <c r="J9" s="447"/>
    </row>
    <row r="10" spans="1:10" ht="15" customHeight="1" x14ac:dyDescent="0.2">
      <c r="A10" s="128" t="s">
        <v>265</v>
      </c>
      <c r="B10" s="128"/>
      <c r="C10" s="128"/>
      <c r="D10" s="128"/>
      <c r="E10" s="128"/>
      <c r="F10" s="128"/>
      <c r="G10" s="128"/>
      <c r="H10" s="128"/>
      <c r="I10" s="128"/>
      <c r="J10" s="128"/>
    </row>
    <row r="11" spans="1:10" ht="21.75" customHeight="1" x14ac:dyDescent="0.2">
      <c r="A11" s="129" t="s">
        <v>823</v>
      </c>
      <c r="B11" s="129"/>
      <c r="C11" s="129"/>
      <c r="D11" s="129"/>
      <c r="E11" s="129"/>
      <c r="F11" s="129"/>
      <c r="G11" s="129"/>
      <c r="H11" s="129"/>
      <c r="I11" s="129"/>
      <c r="J11" s="129"/>
    </row>
    <row r="12" spans="1:10" s="367" customFormat="1" x14ac:dyDescent="0.2">
      <c r="A12" s="129" t="s">
        <v>1449</v>
      </c>
      <c r="B12" s="129"/>
      <c r="C12" s="129"/>
      <c r="D12" s="129"/>
      <c r="E12" s="129"/>
      <c r="F12" s="129"/>
      <c r="G12" s="129"/>
      <c r="H12" s="129"/>
      <c r="I12" s="129"/>
      <c r="J12" s="129"/>
    </row>
    <row r="13" spans="1:10" x14ac:dyDescent="0.2">
      <c r="A13" s="129" t="s">
        <v>1450</v>
      </c>
      <c r="B13" s="129"/>
      <c r="C13" s="129"/>
      <c r="D13" s="129"/>
      <c r="E13" s="129"/>
      <c r="F13" s="129"/>
      <c r="G13" s="129"/>
      <c r="H13" s="129"/>
      <c r="I13" s="129"/>
      <c r="J13" s="129"/>
    </row>
    <row r="14" spans="1:10" x14ac:dyDescent="0.2">
      <c r="A14" s="129" t="s">
        <v>1451</v>
      </c>
      <c r="B14" s="129"/>
      <c r="C14" s="129"/>
      <c r="D14" s="129"/>
      <c r="E14" s="129"/>
      <c r="F14" s="129"/>
      <c r="G14" s="129"/>
      <c r="H14" s="129"/>
      <c r="I14" s="129"/>
      <c r="J14" s="129"/>
    </row>
    <row r="15" spans="1:10" ht="15" customHeight="1" x14ac:dyDescent="0.2">
      <c r="A15" s="128" t="s">
        <v>267</v>
      </c>
      <c r="B15" s="128"/>
      <c r="C15" s="128"/>
      <c r="D15" s="128"/>
      <c r="E15" s="128"/>
      <c r="F15" s="128"/>
      <c r="G15" s="128"/>
      <c r="H15" s="128"/>
      <c r="I15" s="128"/>
      <c r="J15" s="128"/>
    </row>
    <row r="16" spans="1:10" x14ac:dyDescent="0.2">
      <c r="A16" s="282" t="s">
        <v>1452</v>
      </c>
      <c r="B16" s="282"/>
      <c r="C16" s="282"/>
      <c r="D16" s="282"/>
      <c r="E16" s="282"/>
      <c r="F16" s="282"/>
      <c r="G16" s="282"/>
      <c r="H16" s="282"/>
      <c r="I16" s="282"/>
      <c r="J16" s="282"/>
    </row>
    <row r="17" spans="1:10" x14ac:dyDescent="0.2">
      <c r="A17" s="282" t="s">
        <v>1453</v>
      </c>
      <c r="B17" s="282"/>
      <c r="C17" s="282"/>
      <c r="D17" s="282"/>
      <c r="E17" s="282"/>
      <c r="F17" s="282"/>
      <c r="G17" s="282"/>
      <c r="H17" s="282"/>
      <c r="I17" s="282"/>
      <c r="J17" s="282"/>
    </row>
    <row r="18" spans="1:10" x14ac:dyDescent="0.2">
      <c r="A18" s="129" t="s">
        <v>1454</v>
      </c>
      <c r="B18" s="129"/>
      <c r="C18" s="129"/>
      <c r="D18" s="129"/>
      <c r="E18" s="129"/>
      <c r="F18" s="129"/>
      <c r="G18" s="129"/>
      <c r="H18" s="129"/>
      <c r="I18" s="129"/>
      <c r="J18" s="129"/>
    </row>
    <row r="19" spans="1:10" ht="15" customHeight="1" x14ac:dyDescent="0.2">
      <c r="A19" s="128" t="s">
        <v>269</v>
      </c>
      <c r="B19" s="128"/>
      <c r="C19" s="128"/>
      <c r="D19" s="128"/>
      <c r="E19" s="128"/>
      <c r="F19" s="128"/>
      <c r="G19" s="128"/>
      <c r="H19" s="128"/>
      <c r="I19" s="128"/>
      <c r="J19" s="128"/>
    </row>
    <row r="20" spans="1:10" x14ac:dyDescent="0.2">
      <c r="A20" s="284" t="s">
        <v>1455</v>
      </c>
      <c r="B20" s="284"/>
      <c r="C20" s="284"/>
      <c r="D20" s="284"/>
      <c r="E20" s="284"/>
      <c r="F20" s="284"/>
      <c r="G20" s="284"/>
      <c r="H20" s="284"/>
      <c r="I20" s="284"/>
      <c r="J20" s="284"/>
    </row>
    <row r="21" spans="1:10" ht="15" customHeight="1" x14ac:dyDescent="0.2">
      <c r="A21" s="128" t="s">
        <v>272</v>
      </c>
      <c r="B21" s="128"/>
      <c r="C21" s="128"/>
      <c r="D21" s="128"/>
      <c r="E21" s="128"/>
      <c r="F21" s="128"/>
      <c r="G21" s="128"/>
      <c r="H21" s="128"/>
      <c r="I21" s="128"/>
      <c r="J21" s="128"/>
    </row>
    <row r="22" spans="1:10" ht="35.25" customHeight="1" x14ac:dyDescent="0.2">
      <c r="A22" s="343" t="s">
        <v>1456</v>
      </c>
      <c r="B22" s="343"/>
      <c r="C22" s="343"/>
      <c r="D22" s="343"/>
      <c r="E22" s="343"/>
      <c r="F22" s="343"/>
      <c r="G22" s="343"/>
      <c r="H22" s="343"/>
      <c r="I22" s="343"/>
      <c r="J22" s="343"/>
    </row>
    <row r="23" spans="1:10" x14ac:dyDescent="0.2">
      <c r="A23" s="282"/>
      <c r="B23" s="282"/>
      <c r="C23" s="282"/>
      <c r="D23" s="282"/>
      <c r="E23" s="282"/>
      <c r="F23" s="282"/>
      <c r="G23" s="282"/>
      <c r="H23" s="282"/>
      <c r="I23" s="282"/>
      <c r="J23" s="282"/>
    </row>
    <row r="24" spans="1:10" ht="15" customHeight="1" x14ac:dyDescent="0.2">
      <c r="A24" s="128" t="s">
        <v>275</v>
      </c>
      <c r="B24" s="128"/>
      <c r="C24" s="128"/>
      <c r="D24" s="128"/>
      <c r="E24" s="128"/>
      <c r="F24" s="128"/>
      <c r="G24" s="128"/>
      <c r="H24" s="128"/>
      <c r="I24" s="128"/>
      <c r="J24" s="128"/>
    </row>
    <row r="25" spans="1:10" ht="33.75" x14ac:dyDescent="0.2">
      <c r="A25" s="130" t="s">
        <v>243</v>
      </c>
      <c r="B25" s="131" t="s">
        <v>242</v>
      </c>
      <c r="C25" s="131"/>
      <c r="D25" s="131"/>
      <c r="E25" s="132" t="str">
        <f>Summary!$G$25</f>
        <v>Actuals           2014-2015</v>
      </c>
      <c r="F25" s="132" t="str">
        <f>Summary!$H$25</f>
        <v>Approved Estimates          2015-2016</v>
      </c>
      <c r="G25" s="132" t="str">
        <f>Summary!$I$25</f>
        <v>Revised Estimates                 2015-2016</v>
      </c>
      <c r="H25" s="132" t="str">
        <f>Summary!$J$25</f>
        <v>Budget Estimates      2016-2017</v>
      </c>
      <c r="I25" s="132" t="str">
        <f>Summary!$K$25</f>
        <v>Forward Estimates     2017-2018</v>
      </c>
      <c r="J25" s="132" t="str">
        <f>Summary!$L$25</f>
        <v>Forward Estimates     2018-2019</v>
      </c>
    </row>
    <row r="26" spans="1:10" x14ac:dyDescent="0.2">
      <c r="A26" s="128" t="s">
        <v>276</v>
      </c>
      <c r="B26" s="128"/>
      <c r="C26" s="128"/>
      <c r="D26" s="128"/>
      <c r="E26" s="128"/>
      <c r="F26" s="128"/>
      <c r="G26" s="128"/>
      <c r="H26" s="128"/>
      <c r="I26" s="128"/>
      <c r="J26" s="128"/>
    </row>
    <row r="27" spans="1:10" ht="15" customHeight="1" x14ac:dyDescent="0.2">
      <c r="A27" s="207">
        <v>350</v>
      </c>
      <c r="B27" s="129" t="s">
        <v>501</v>
      </c>
      <c r="C27" s="129"/>
      <c r="D27" s="129"/>
      <c r="E27" s="211">
        <f t="shared" ref="E27:J27" si="0">E87</f>
        <v>2653999.15</v>
      </c>
      <c r="F27" s="209">
        <f t="shared" si="0"/>
        <v>3939400</v>
      </c>
      <c r="G27" s="211">
        <f t="shared" si="0"/>
        <v>2636200</v>
      </c>
      <c r="H27" s="210">
        <f t="shared" si="0"/>
        <v>2821800</v>
      </c>
      <c r="I27" s="211">
        <f t="shared" si="0"/>
        <v>2796600</v>
      </c>
      <c r="J27" s="211">
        <f t="shared" si="0"/>
        <v>2796600</v>
      </c>
    </row>
    <row r="28" spans="1:10" ht="15" customHeight="1" x14ac:dyDescent="0.2">
      <c r="A28" s="207">
        <v>351</v>
      </c>
      <c r="B28" s="129" t="s">
        <v>1457</v>
      </c>
      <c r="C28" s="129"/>
      <c r="D28" s="129"/>
      <c r="E28" s="211">
        <f t="shared" ref="E28:J28" si="1">E175</f>
        <v>7378.3099999999995</v>
      </c>
      <c r="F28" s="209">
        <f t="shared" si="1"/>
        <v>50000</v>
      </c>
      <c r="G28" s="211">
        <f t="shared" si="1"/>
        <v>33500</v>
      </c>
      <c r="H28" s="210">
        <f t="shared" si="1"/>
        <v>50000</v>
      </c>
      <c r="I28" s="211">
        <f t="shared" si="1"/>
        <v>50000</v>
      </c>
      <c r="J28" s="211">
        <f t="shared" si="1"/>
        <v>50000</v>
      </c>
    </row>
    <row r="29" spans="1:10" ht="15" customHeight="1" x14ac:dyDescent="0.2">
      <c r="A29" s="207">
        <v>352</v>
      </c>
      <c r="B29" s="129" t="s">
        <v>1458</v>
      </c>
      <c r="C29" s="129"/>
      <c r="D29" s="129"/>
      <c r="E29" s="211">
        <f t="shared" ref="E29:J29" si="2">E246</f>
        <v>498545.94999999995</v>
      </c>
      <c r="F29" s="209">
        <f t="shared" si="2"/>
        <v>995000</v>
      </c>
      <c r="G29" s="211">
        <f t="shared" si="2"/>
        <v>362400</v>
      </c>
      <c r="H29" s="210">
        <f t="shared" si="2"/>
        <v>630000</v>
      </c>
      <c r="I29" s="211">
        <f t="shared" si="2"/>
        <v>630000</v>
      </c>
      <c r="J29" s="211">
        <f t="shared" si="2"/>
        <v>630000</v>
      </c>
    </row>
    <row r="30" spans="1:10" ht="15" customHeight="1" x14ac:dyDescent="0.2">
      <c r="A30" s="207">
        <v>353</v>
      </c>
      <c r="B30" s="129" t="s">
        <v>1459</v>
      </c>
      <c r="C30" s="129"/>
      <c r="D30" s="129"/>
      <c r="E30" s="211">
        <f t="shared" ref="E30:J30" si="3">E313</f>
        <v>228902</v>
      </c>
      <c r="F30" s="209">
        <f t="shared" si="3"/>
        <v>377000</v>
      </c>
      <c r="G30" s="211">
        <f t="shared" si="3"/>
        <v>309000</v>
      </c>
      <c r="H30" s="210">
        <f t="shared" si="3"/>
        <v>377000</v>
      </c>
      <c r="I30" s="211">
        <f t="shared" si="3"/>
        <v>377000</v>
      </c>
      <c r="J30" s="211">
        <f t="shared" si="3"/>
        <v>377000</v>
      </c>
    </row>
    <row r="31" spans="1:10" ht="15" customHeight="1" x14ac:dyDescent="0.2">
      <c r="A31" s="207">
        <v>355</v>
      </c>
      <c r="B31" s="129" t="s">
        <v>1460</v>
      </c>
      <c r="C31" s="129"/>
      <c r="D31" s="129"/>
      <c r="E31" s="211">
        <f t="shared" ref="E31:J31" si="4">E381</f>
        <v>157925</v>
      </c>
      <c r="F31" s="209">
        <f t="shared" si="4"/>
        <v>160000</v>
      </c>
      <c r="G31" s="211">
        <f t="shared" si="4"/>
        <v>177100</v>
      </c>
      <c r="H31" s="210">
        <f t="shared" si="4"/>
        <v>170000</v>
      </c>
      <c r="I31" s="211">
        <f t="shared" si="4"/>
        <v>170000</v>
      </c>
      <c r="J31" s="211">
        <f t="shared" si="4"/>
        <v>170000</v>
      </c>
    </row>
    <row r="32" spans="1:10" ht="15" customHeight="1" x14ac:dyDescent="0.2">
      <c r="A32" s="137" t="s">
        <v>1461</v>
      </c>
      <c r="B32" s="137"/>
      <c r="C32" s="137"/>
      <c r="D32" s="137"/>
      <c r="E32" s="138">
        <f t="shared" ref="E32:J32" si="5">SUM(E27:E31)</f>
        <v>3546750.41</v>
      </c>
      <c r="F32" s="138">
        <f t="shared" si="5"/>
        <v>5521400</v>
      </c>
      <c r="G32" s="138">
        <f t="shared" si="5"/>
        <v>3518200</v>
      </c>
      <c r="H32" s="138">
        <f t="shared" si="5"/>
        <v>4048800</v>
      </c>
      <c r="I32" s="138">
        <f t="shared" si="5"/>
        <v>4023600</v>
      </c>
      <c r="J32" s="138">
        <f t="shared" si="5"/>
        <v>4023600</v>
      </c>
    </row>
    <row r="33" spans="1:10" x14ac:dyDescent="0.2">
      <c r="A33" s="129"/>
      <c r="B33" s="129"/>
      <c r="C33" s="129"/>
      <c r="D33" s="129"/>
      <c r="E33" s="129"/>
      <c r="F33" s="129"/>
      <c r="G33" s="129"/>
      <c r="H33" s="129"/>
      <c r="I33" s="129"/>
      <c r="J33" s="129"/>
    </row>
    <row r="34" spans="1:10" ht="15" customHeight="1" x14ac:dyDescent="0.2">
      <c r="A34" s="128" t="s">
        <v>281</v>
      </c>
      <c r="B34" s="128"/>
      <c r="C34" s="128"/>
      <c r="D34" s="128"/>
      <c r="E34" s="128"/>
      <c r="F34" s="128"/>
      <c r="G34" s="128"/>
      <c r="H34" s="128"/>
      <c r="I34" s="128"/>
      <c r="J34" s="128"/>
    </row>
    <row r="35" spans="1:10" ht="15" customHeight="1" x14ac:dyDescent="0.2">
      <c r="A35" s="207">
        <v>350</v>
      </c>
      <c r="B35" s="129" t="s">
        <v>501</v>
      </c>
      <c r="C35" s="129"/>
      <c r="D35" s="129"/>
      <c r="E35" s="211">
        <f t="shared" ref="E35:J35" si="6">E114+E131</f>
        <v>11223079.810000001</v>
      </c>
      <c r="F35" s="209">
        <f t="shared" si="6"/>
        <v>16882400</v>
      </c>
      <c r="G35" s="211">
        <f t="shared" si="6"/>
        <v>23289000</v>
      </c>
      <c r="H35" s="210">
        <f t="shared" si="6"/>
        <v>21732000</v>
      </c>
      <c r="I35" s="211">
        <f t="shared" si="6"/>
        <v>10627400</v>
      </c>
      <c r="J35" s="211">
        <f t="shared" si="6"/>
        <v>8677400</v>
      </c>
    </row>
    <row r="36" spans="1:10" ht="15" customHeight="1" x14ac:dyDescent="0.2">
      <c r="A36" s="207">
        <v>351</v>
      </c>
      <c r="B36" s="129" t="s">
        <v>1457</v>
      </c>
      <c r="C36" s="129"/>
      <c r="D36" s="129"/>
      <c r="E36" s="211">
        <f t="shared" ref="E36:J36" si="7">E190+E197</f>
        <v>5108911.91</v>
      </c>
      <c r="F36" s="209">
        <f t="shared" si="7"/>
        <v>5413100</v>
      </c>
      <c r="G36" s="211">
        <f t="shared" si="7"/>
        <v>5378100</v>
      </c>
      <c r="H36" s="210">
        <f t="shared" si="7"/>
        <v>5431400</v>
      </c>
      <c r="I36" s="211">
        <f t="shared" si="7"/>
        <v>5496200</v>
      </c>
      <c r="J36" s="211">
        <f t="shared" si="7"/>
        <v>5527400</v>
      </c>
    </row>
    <row r="37" spans="1:10" ht="15" customHeight="1" x14ac:dyDescent="0.2">
      <c r="A37" s="207">
        <v>352</v>
      </c>
      <c r="B37" s="129" t="s">
        <v>1458</v>
      </c>
      <c r="C37" s="129"/>
      <c r="D37" s="129"/>
      <c r="E37" s="211">
        <f t="shared" ref="E37:J37" si="8">E261+E268</f>
        <v>3109760.19</v>
      </c>
      <c r="F37" s="209">
        <f t="shared" si="8"/>
        <v>3278800</v>
      </c>
      <c r="G37" s="211">
        <f t="shared" si="8"/>
        <v>3169800</v>
      </c>
      <c r="H37" s="210">
        <f t="shared" si="8"/>
        <v>3204700</v>
      </c>
      <c r="I37" s="211">
        <f t="shared" si="8"/>
        <v>3238700</v>
      </c>
      <c r="J37" s="211">
        <f t="shared" si="8"/>
        <v>3267000</v>
      </c>
    </row>
    <row r="38" spans="1:10" ht="15" customHeight="1" x14ac:dyDescent="0.2">
      <c r="A38" s="207">
        <v>353</v>
      </c>
      <c r="B38" s="129" t="s">
        <v>1459</v>
      </c>
      <c r="C38" s="129"/>
      <c r="D38" s="129"/>
      <c r="E38" s="211">
        <f t="shared" ref="E38:J38" si="9">E334+E340</f>
        <v>2441692.84</v>
      </c>
      <c r="F38" s="209">
        <f t="shared" si="9"/>
        <v>2126200</v>
      </c>
      <c r="G38" s="211">
        <f t="shared" si="9"/>
        <v>2041600</v>
      </c>
      <c r="H38" s="210">
        <f t="shared" si="9"/>
        <v>2137300</v>
      </c>
      <c r="I38" s="211">
        <f t="shared" si="9"/>
        <v>2175900</v>
      </c>
      <c r="J38" s="211">
        <f t="shared" si="9"/>
        <v>2203800</v>
      </c>
    </row>
    <row r="39" spans="1:10" ht="15" customHeight="1" x14ac:dyDescent="0.2">
      <c r="A39" s="207">
        <v>355</v>
      </c>
      <c r="B39" s="129" t="s">
        <v>1460</v>
      </c>
      <c r="C39" s="129"/>
      <c r="D39" s="129"/>
      <c r="E39" s="211">
        <f t="shared" ref="E39:J39" si="10">E398+E405</f>
        <v>265594.98</v>
      </c>
      <c r="F39" s="209">
        <f t="shared" si="10"/>
        <v>285400</v>
      </c>
      <c r="G39" s="211">
        <f t="shared" si="10"/>
        <v>272900</v>
      </c>
      <c r="H39" s="210">
        <f t="shared" si="10"/>
        <v>294900</v>
      </c>
      <c r="I39" s="211">
        <f t="shared" si="10"/>
        <v>300900</v>
      </c>
      <c r="J39" s="211">
        <f t="shared" si="10"/>
        <v>307000</v>
      </c>
    </row>
    <row r="40" spans="1:10" x14ac:dyDescent="0.2">
      <c r="A40" s="139" t="s">
        <v>1462</v>
      </c>
      <c r="B40" s="139"/>
      <c r="C40" s="139"/>
      <c r="D40" s="139"/>
      <c r="E40" s="140">
        <f t="shared" ref="E40:J40" si="11">SUM(E35:E39)</f>
        <v>22149039.73</v>
      </c>
      <c r="F40" s="140">
        <f t="shared" si="11"/>
        <v>27985900</v>
      </c>
      <c r="G40" s="140">
        <f t="shared" si="11"/>
        <v>34151400</v>
      </c>
      <c r="H40" s="140">
        <f>SUM(H35:H39)</f>
        <v>32800300</v>
      </c>
      <c r="I40" s="140">
        <f t="shared" si="11"/>
        <v>21839100</v>
      </c>
      <c r="J40" s="140">
        <f t="shared" si="11"/>
        <v>19982600</v>
      </c>
    </row>
    <row r="41" spans="1:10" ht="15" customHeight="1" x14ac:dyDescent="0.2">
      <c r="A41" s="151"/>
      <c r="B41" s="151"/>
      <c r="C41" s="151"/>
      <c r="D41" s="151"/>
      <c r="E41" s="261"/>
      <c r="F41" s="286"/>
      <c r="G41" s="261"/>
      <c r="H41" s="303"/>
      <c r="I41" s="261"/>
      <c r="J41" s="261"/>
    </row>
    <row r="42" spans="1:10" x14ac:dyDescent="0.2">
      <c r="A42" s="141" t="s">
        <v>283</v>
      </c>
      <c r="B42" s="141"/>
      <c r="C42" s="141"/>
      <c r="D42" s="141"/>
      <c r="E42" s="141"/>
      <c r="F42" s="141"/>
      <c r="G42" s="141"/>
      <c r="H42" s="141"/>
      <c r="I42" s="141"/>
      <c r="J42" s="141"/>
    </row>
    <row r="43" spans="1:10" ht="15" customHeight="1" x14ac:dyDescent="0.2">
      <c r="A43" s="131" t="s">
        <v>284</v>
      </c>
      <c r="B43" s="131"/>
      <c r="C43" s="131"/>
      <c r="D43" s="131"/>
      <c r="E43" s="131"/>
      <c r="F43" s="131"/>
      <c r="G43" s="131"/>
      <c r="H43" s="131"/>
      <c r="I43" s="131"/>
      <c r="J43" s="131"/>
    </row>
    <row r="44" spans="1:10" ht="15" customHeight="1" x14ac:dyDescent="0.2">
      <c r="A44" s="261"/>
      <c r="B44" s="129" t="s">
        <v>7</v>
      </c>
      <c r="C44" s="101"/>
      <c r="D44" s="101"/>
      <c r="E44" s="211">
        <f t="shared" ref="E44:J44" si="12">E443</f>
        <v>5068749.34</v>
      </c>
      <c r="F44" s="209">
        <f t="shared" si="12"/>
        <v>5639500</v>
      </c>
      <c r="G44" s="211">
        <f t="shared" si="12"/>
        <v>5445100</v>
      </c>
      <c r="H44" s="210">
        <f t="shared" si="12"/>
        <v>5859300</v>
      </c>
      <c r="I44" s="211">
        <f t="shared" si="12"/>
        <v>6028200</v>
      </c>
      <c r="J44" s="211">
        <f t="shared" si="12"/>
        <v>6130500</v>
      </c>
    </row>
    <row r="45" spans="1:10" ht="15" customHeight="1" x14ac:dyDescent="0.2">
      <c r="A45" s="261"/>
      <c r="B45" s="129" t="s">
        <v>196</v>
      </c>
      <c r="C45" s="101"/>
      <c r="D45" s="101"/>
      <c r="E45" s="211">
        <f t="shared" ref="E45:J45" si="13">E450</f>
        <v>0</v>
      </c>
      <c r="F45" s="209">
        <f t="shared" si="13"/>
        <v>0</v>
      </c>
      <c r="G45" s="211">
        <f t="shared" si="13"/>
        <v>0</v>
      </c>
      <c r="H45" s="210">
        <f t="shared" si="13"/>
        <v>0</v>
      </c>
      <c r="I45" s="211">
        <f t="shared" si="13"/>
        <v>0</v>
      </c>
      <c r="J45" s="211">
        <f t="shared" si="13"/>
        <v>0</v>
      </c>
    </row>
    <row r="46" spans="1:10" x14ac:dyDescent="0.2">
      <c r="A46" s="261"/>
      <c r="B46" s="129" t="s">
        <v>285</v>
      </c>
      <c r="C46" s="101"/>
      <c r="D46" s="101"/>
      <c r="E46" s="211">
        <f t="shared" ref="E46:J46" si="14">E457</f>
        <v>900345.06</v>
      </c>
      <c r="F46" s="209">
        <f t="shared" si="14"/>
        <v>998300</v>
      </c>
      <c r="G46" s="211">
        <f t="shared" si="14"/>
        <v>997800</v>
      </c>
      <c r="H46" s="210">
        <f t="shared" si="14"/>
        <v>962400</v>
      </c>
      <c r="I46" s="211">
        <f t="shared" si="14"/>
        <v>962400</v>
      </c>
      <c r="J46" s="211">
        <f t="shared" si="14"/>
        <v>962400</v>
      </c>
    </row>
    <row r="47" spans="1:10" ht="15" customHeight="1" x14ac:dyDescent="0.2">
      <c r="A47" s="261"/>
      <c r="B47" s="129" t="s">
        <v>198</v>
      </c>
      <c r="C47" s="101"/>
      <c r="D47" s="101"/>
      <c r="E47" s="211">
        <f t="shared" ref="E47:J47" si="15">E464</f>
        <v>72958.67</v>
      </c>
      <c r="F47" s="209">
        <f t="shared" si="15"/>
        <v>126700</v>
      </c>
      <c r="G47" s="211">
        <f t="shared" si="15"/>
        <v>126700</v>
      </c>
      <c r="H47" s="210">
        <f t="shared" si="15"/>
        <v>44300</v>
      </c>
      <c r="I47" s="211">
        <f t="shared" si="15"/>
        <v>35900</v>
      </c>
      <c r="J47" s="211">
        <f t="shared" si="15"/>
        <v>44300</v>
      </c>
    </row>
    <row r="48" spans="1:10" ht="15" customHeight="1" x14ac:dyDescent="0.2">
      <c r="A48" s="261"/>
      <c r="B48" s="129" t="s">
        <v>286</v>
      </c>
      <c r="C48" s="101"/>
      <c r="D48" s="101"/>
      <c r="E48" s="211">
        <f t="shared" ref="E48:J48" si="16">E471</f>
        <v>13324986.66</v>
      </c>
      <c r="F48" s="209">
        <f t="shared" si="16"/>
        <v>13946400</v>
      </c>
      <c r="G48" s="211">
        <f t="shared" si="16"/>
        <v>13148400</v>
      </c>
      <c r="H48" s="210">
        <f t="shared" si="16"/>
        <v>12845400</v>
      </c>
      <c r="I48" s="211">
        <f t="shared" si="16"/>
        <v>12845400</v>
      </c>
      <c r="J48" s="211">
        <f t="shared" si="16"/>
        <v>12845400</v>
      </c>
    </row>
    <row r="49" spans="1:10" ht="15" customHeight="1" x14ac:dyDescent="0.2">
      <c r="A49" s="139" t="s">
        <v>287</v>
      </c>
      <c r="B49" s="139"/>
      <c r="C49" s="139"/>
      <c r="D49" s="139"/>
      <c r="E49" s="140">
        <f t="shared" ref="E49:J49" si="17">SUM(E44:E48)</f>
        <v>19367039.73</v>
      </c>
      <c r="F49" s="140">
        <f t="shared" si="17"/>
        <v>20710900</v>
      </c>
      <c r="G49" s="140">
        <f t="shared" si="17"/>
        <v>19718000</v>
      </c>
      <c r="H49" s="140">
        <f t="shared" si="17"/>
        <v>19711400</v>
      </c>
      <c r="I49" s="140">
        <f t="shared" si="17"/>
        <v>19871900</v>
      </c>
      <c r="J49" s="140">
        <f t="shared" si="17"/>
        <v>19982600</v>
      </c>
    </row>
    <row r="50" spans="1:10" ht="15" customHeight="1" x14ac:dyDescent="0.2">
      <c r="A50" s="129"/>
      <c r="B50" s="129"/>
      <c r="C50" s="129"/>
      <c r="D50" s="129"/>
      <c r="E50" s="129"/>
      <c r="F50" s="129"/>
      <c r="G50" s="129"/>
      <c r="H50" s="129"/>
      <c r="I50" s="129"/>
      <c r="J50" s="129"/>
    </row>
    <row r="51" spans="1:10" x14ac:dyDescent="0.2">
      <c r="A51" s="131" t="s">
        <v>15</v>
      </c>
      <c r="B51" s="131"/>
      <c r="C51" s="131"/>
      <c r="D51" s="131"/>
      <c r="E51" s="131"/>
      <c r="F51" s="131"/>
      <c r="G51" s="131"/>
      <c r="H51" s="131"/>
      <c r="I51" s="131"/>
      <c r="J51" s="131"/>
    </row>
    <row r="52" spans="1:10" ht="15" customHeight="1" x14ac:dyDescent="0.2">
      <c r="A52" s="130" t="s">
        <v>243</v>
      </c>
      <c r="B52" s="130" t="s">
        <v>244</v>
      </c>
      <c r="C52" s="131" t="s">
        <v>245</v>
      </c>
      <c r="D52" s="142"/>
      <c r="E52" s="143"/>
      <c r="F52" s="143"/>
      <c r="G52" s="143"/>
      <c r="H52" s="143"/>
      <c r="I52" s="143"/>
      <c r="J52" s="143"/>
    </row>
    <row r="53" spans="1:10" x14ac:dyDescent="0.2">
      <c r="A53" s="480" t="str">
        <f t="shared" ref="A53:A57" si="18">RIGHT(A119,3)</f>
        <v>71A</v>
      </c>
      <c r="B53" s="481" t="str">
        <f t="shared" ref="B53:J57" si="19">B119</f>
        <v>DFID</v>
      </c>
      <c r="C53" s="482" t="str">
        <f t="shared" si="19"/>
        <v>Geothermal Exploration</v>
      </c>
      <c r="D53" s="482">
        <f t="shared" si="19"/>
        <v>0</v>
      </c>
      <c r="E53" s="158">
        <f t="shared" si="19"/>
        <v>1812300</v>
      </c>
      <c r="F53" s="158">
        <f t="shared" si="19"/>
        <v>4100000</v>
      </c>
      <c r="G53" s="158">
        <f t="shared" si="19"/>
        <v>7006100</v>
      </c>
      <c r="H53" s="210">
        <f t="shared" si="19"/>
        <v>4800000</v>
      </c>
      <c r="I53" s="158">
        <f t="shared" si="19"/>
        <v>0</v>
      </c>
      <c r="J53" s="158">
        <f t="shared" si="19"/>
        <v>0</v>
      </c>
    </row>
    <row r="54" spans="1:10" x14ac:dyDescent="0.2">
      <c r="A54" s="480" t="str">
        <f t="shared" si="18"/>
        <v>73A</v>
      </c>
      <c r="B54" s="481" t="str">
        <f t="shared" si="19"/>
        <v>DFID</v>
      </c>
      <c r="C54" s="482" t="str">
        <f t="shared" si="19"/>
        <v>Access Transport Coordinator</v>
      </c>
      <c r="D54" s="482">
        <f t="shared" si="19"/>
        <v>0</v>
      </c>
      <c r="E54" s="158">
        <f t="shared" si="19"/>
        <v>102100</v>
      </c>
      <c r="F54" s="158">
        <f t="shared" si="19"/>
        <v>0</v>
      </c>
      <c r="G54" s="158">
        <f t="shared" si="19"/>
        <v>20500</v>
      </c>
      <c r="H54" s="210">
        <f t="shared" si="19"/>
        <v>0</v>
      </c>
      <c r="I54" s="158">
        <f t="shared" si="19"/>
        <v>0</v>
      </c>
      <c r="J54" s="158">
        <f t="shared" si="19"/>
        <v>0</v>
      </c>
    </row>
    <row r="55" spans="1:10" x14ac:dyDescent="0.2">
      <c r="A55" s="480" t="str">
        <f t="shared" si="18"/>
        <v>74A</v>
      </c>
      <c r="B55" s="481" t="str">
        <f t="shared" si="19"/>
        <v>DFID</v>
      </c>
      <c r="C55" s="482" t="str">
        <f t="shared" si="19"/>
        <v>Road Refurbishing Project</v>
      </c>
      <c r="D55" s="482">
        <f t="shared" si="19"/>
        <v>0</v>
      </c>
      <c r="E55" s="158">
        <f t="shared" si="19"/>
        <v>92200</v>
      </c>
      <c r="F55" s="158">
        <f t="shared" si="19"/>
        <v>0</v>
      </c>
      <c r="G55" s="158">
        <f t="shared" si="19"/>
        <v>0</v>
      </c>
      <c r="H55" s="210">
        <f t="shared" si="19"/>
        <v>0</v>
      </c>
      <c r="I55" s="158">
        <f t="shared" si="19"/>
        <v>0</v>
      </c>
      <c r="J55" s="158">
        <f t="shared" si="19"/>
        <v>0</v>
      </c>
    </row>
    <row r="56" spans="1:10" x14ac:dyDescent="0.2">
      <c r="A56" s="480" t="str">
        <f t="shared" si="18"/>
        <v>76A</v>
      </c>
      <c r="B56" s="481" t="str">
        <f t="shared" si="19"/>
        <v>DFID</v>
      </c>
      <c r="C56" s="482" t="str">
        <f t="shared" si="19"/>
        <v>Support to Public Works Strategic Development</v>
      </c>
      <c r="D56" s="482">
        <f t="shared" si="19"/>
        <v>0</v>
      </c>
      <c r="E56" s="158">
        <f t="shared" si="19"/>
        <v>0</v>
      </c>
      <c r="F56" s="158">
        <f t="shared" si="19"/>
        <v>0</v>
      </c>
      <c r="G56" s="158">
        <f t="shared" si="19"/>
        <v>441500</v>
      </c>
      <c r="H56" s="210">
        <f t="shared" si="19"/>
        <v>274300</v>
      </c>
      <c r="I56" s="158">
        <f t="shared" si="19"/>
        <v>0</v>
      </c>
      <c r="J56" s="158">
        <f t="shared" si="19"/>
        <v>0</v>
      </c>
    </row>
    <row r="57" spans="1:10" x14ac:dyDescent="0.2">
      <c r="A57" s="480" t="str">
        <f t="shared" si="18"/>
        <v>78A</v>
      </c>
      <c r="B57" s="481" t="str">
        <f t="shared" si="19"/>
        <v>DFID</v>
      </c>
      <c r="C57" s="482" t="str">
        <f t="shared" si="19"/>
        <v>Aeronautical Project</v>
      </c>
      <c r="D57" s="482">
        <f t="shared" si="19"/>
        <v>0</v>
      </c>
      <c r="E57" s="158">
        <f t="shared" si="19"/>
        <v>775400</v>
      </c>
      <c r="F57" s="158">
        <f t="shared" si="19"/>
        <v>0</v>
      </c>
      <c r="G57" s="158">
        <f t="shared" si="19"/>
        <v>0</v>
      </c>
      <c r="H57" s="210">
        <f t="shared" si="19"/>
        <v>0</v>
      </c>
      <c r="I57" s="158">
        <f t="shared" si="19"/>
        <v>0</v>
      </c>
      <c r="J57" s="158">
        <f t="shared" si="19"/>
        <v>0</v>
      </c>
    </row>
    <row r="58" spans="1:10" x14ac:dyDescent="0.2">
      <c r="A58" s="480" t="str">
        <f>RIGHT(A126,3)</f>
        <v>90A</v>
      </c>
      <c r="B58" s="481" t="str">
        <f t="shared" ref="B58:J60" si="20">B126</f>
        <v>DFID</v>
      </c>
      <c r="C58" s="482" t="str">
        <f t="shared" si="20"/>
        <v>Water Supply Infrastructure Upgrade</v>
      </c>
      <c r="D58" s="482">
        <f t="shared" si="20"/>
        <v>0</v>
      </c>
      <c r="E58" s="158">
        <f t="shared" si="20"/>
        <v>0</v>
      </c>
      <c r="F58" s="158">
        <f t="shared" si="20"/>
        <v>0</v>
      </c>
      <c r="G58" s="158">
        <f t="shared" si="20"/>
        <v>820000</v>
      </c>
      <c r="H58" s="210">
        <f t="shared" si="20"/>
        <v>725100</v>
      </c>
      <c r="I58" s="158">
        <f t="shared" si="20"/>
        <v>0</v>
      </c>
      <c r="J58" s="158">
        <f t="shared" si="20"/>
        <v>0</v>
      </c>
    </row>
    <row r="59" spans="1:10" x14ac:dyDescent="0.2">
      <c r="A59" s="480" t="str">
        <f>RIGHT(A127,3)</f>
        <v>92A</v>
      </c>
      <c r="B59" s="481" t="str">
        <f t="shared" si="20"/>
        <v>DFID</v>
      </c>
      <c r="C59" s="482" t="str">
        <f t="shared" si="20"/>
        <v xml:space="preserve">Liquid Waste Management </v>
      </c>
      <c r="D59" s="482">
        <f t="shared" si="20"/>
        <v>0</v>
      </c>
      <c r="E59" s="158">
        <f t="shared" si="20"/>
        <v>0</v>
      </c>
      <c r="F59" s="158">
        <f t="shared" si="20"/>
        <v>0</v>
      </c>
      <c r="G59" s="158">
        <f t="shared" si="20"/>
        <v>580000</v>
      </c>
      <c r="H59" s="210">
        <f t="shared" si="20"/>
        <v>1282500</v>
      </c>
      <c r="I59" s="158">
        <f t="shared" si="20"/>
        <v>1113500</v>
      </c>
      <c r="J59" s="158">
        <f t="shared" si="20"/>
        <v>0</v>
      </c>
    </row>
    <row r="60" spans="1:10" x14ac:dyDescent="0.2">
      <c r="A60" s="480" t="str">
        <f>RIGHT(A128,3)</f>
        <v>98A</v>
      </c>
      <c r="B60" s="481" t="str">
        <f t="shared" si="20"/>
        <v>DFID</v>
      </c>
      <c r="C60" s="482" t="str">
        <f t="shared" si="20"/>
        <v>Sea Defences</v>
      </c>
      <c r="D60" s="482">
        <f t="shared" si="20"/>
        <v>0</v>
      </c>
      <c r="E60" s="158">
        <f t="shared" si="20"/>
        <v>0</v>
      </c>
      <c r="F60" s="158">
        <f t="shared" si="20"/>
        <v>0</v>
      </c>
      <c r="G60" s="158">
        <f t="shared" si="20"/>
        <v>0</v>
      </c>
      <c r="H60" s="210">
        <f t="shared" si="20"/>
        <v>1113500</v>
      </c>
      <c r="I60" s="158">
        <f t="shared" si="20"/>
        <v>0</v>
      </c>
      <c r="J60" s="158">
        <f t="shared" si="20"/>
        <v>0</v>
      </c>
    </row>
    <row r="61" spans="1:10" x14ac:dyDescent="0.2">
      <c r="A61" s="480" t="str">
        <f>RIGHT(A124,3)</f>
        <v>79A</v>
      </c>
      <c r="B61" s="481" t="str">
        <f t="shared" ref="B61:J62" si="21">B124</f>
        <v>EU</v>
      </c>
      <c r="C61" s="482" t="str">
        <f t="shared" si="21"/>
        <v>Energy</v>
      </c>
      <c r="D61" s="482">
        <f t="shared" si="21"/>
        <v>0</v>
      </c>
      <c r="E61" s="158">
        <f t="shared" si="21"/>
        <v>0</v>
      </c>
      <c r="F61" s="158">
        <f t="shared" si="21"/>
        <v>3000000</v>
      </c>
      <c r="G61" s="158">
        <f t="shared" si="21"/>
        <v>3000000</v>
      </c>
      <c r="H61" s="210">
        <f t="shared" si="21"/>
        <v>3000000</v>
      </c>
      <c r="I61" s="158">
        <f t="shared" si="21"/>
        <v>0</v>
      </c>
      <c r="J61" s="158">
        <f t="shared" si="21"/>
        <v>0</v>
      </c>
    </row>
    <row r="62" spans="1:10" x14ac:dyDescent="0.2">
      <c r="A62" s="480" t="str">
        <f>RIGHT(A125,3)</f>
        <v>80A</v>
      </c>
      <c r="B62" s="481" t="str">
        <f t="shared" si="21"/>
        <v>EU</v>
      </c>
      <c r="C62" s="482" t="str">
        <f t="shared" si="21"/>
        <v>Ferry Terminal Upgrade</v>
      </c>
      <c r="D62" s="482">
        <f t="shared" si="21"/>
        <v>0</v>
      </c>
      <c r="E62" s="158">
        <f t="shared" si="21"/>
        <v>0</v>
      </c>
      <c r="F62" s="158">
        <f t="shared" si="21"/>
        <v>175000</v>
      </c>
      <c r="G62" s="158">
        <f t="shared" si="21"/>
        <v>175000</v>
      </c>
      <c r="H62" s="210">
        <f t="shared" si="21"/>
        <v>30000</v>
      </c>
      <c r="I62" s="158">
        <f t="shared" si="21"/>
        <v>0</v>
      </c>
      <c r="J62" s="158">
        <f t="shared" si="21"/>
        <v>0</v>
      </c>
    </row>
    <row r="63" spans="1:10" x14ac:dyDescent="0.2">
      <c r="A63" s="480" t="str">
        <f>RIGHT(A129,3)</f>
        <v>88A</v>
      </c>
      <c r="B63" s="481" t="str">
        <f t="shared" ref="B63:J64" si="22">B129</f>
        <v>DFID</v>
      </c>
      <c r="C63" s="482" t="str">
        <f t="shared" si="22"/>
        <v>Roads &amp; Bridges</v>
      </c>
      <c r="D63" s="482">
        <f t="shared" si="22"/>
        <v>0</v>
      </c>
      <c r="E63" s="158">
        <f t="shared" si="22"/>
        <v>0</v>
      </c>
      <c r="F63" s="158">
        <f t="shared" si="22"/>
        <v>0</v>
      </c>
      <c r="G63" s="158">
        <f t="shared" si="22"/>
        <v>1763300</v>
      </c>
      <c r="H63" s="210">
        <f t="shared" si="22"/>
        <v>1043800</v>
      </c>
      <c r="I63" s="158">
        <f t="shared" si="22"/>
        <v>756700</v>
      </c>
      <c r="J63" s="158">
        <f t="shared" si="22"/>
        <v>0</v>
      </c>
    </row>
    <row r="64" spans="1:10" x14ac:dyDescent="0.2">
      <c r="A64" s="480" t="str">
        <f>RIGHT(A130,3)</f>
        <v>89A</v>
      </c>
      <c r="B64" s="481" t="str">
        <f t="shared" si="22"/>
        <v>DFID</v>
      </c>
      <c r="C64" s="482" t="str">
        <f t="shared" si="22"/>
        <v>Electricity Distribution Network Upgrade</v>
      </c>
      <c r="D64" s="482">
        <f t="shared" si="22"/>
        <v>0</v>
      </c>
      <c r="E64" s="158">
        <f t="shared" si="22"/>
        <v>0</v>
      </c>
      <c r="F64" s="158">
        <f t="shared" si="22"/>
        <v>0</v>
      </c>
      <c r="G64" s="158">
        <f t="shared" si="22"/>
        <v>627000</v>
      </c>
      <c r="H64" s="210">
        <f t="shared" si="22"/>
        <v>819700</v>
      </c>
      <c r="I64" s="158">
        <f t="shared" si="22"/>
        <v>97000</v>
      </c>
      <c r="J64" s="158">
        <f t="shared" si="22"/>
        <v>0</v>
      </c>
    </row>
    <row r="65" spans="1:10" ht="15" customHeight="1" x14ac:dyDescent="0.2">
      <c r="A65" s="139" t="s">
        <v>69</v>
      </c>
      <c r="B65" s="139"/>
      <c r="C65" s="139"/>
      <c r="D65" s="139"/>
      <c r="E65" s="140">
        <f t="shared" ref="E65:J65" si="23">SUM(E53:E64)</f>
        <v>2782000</v>
      </c>
      <c r="F65" s="140">
        <f t="shared" si="23"/>
        <v>7275000</v>
      </c>
      <c r="G65" s="140">
        <f t="shared" si="23"/>
        <v>14433400</v>
      </c>
      <c r="H65" s="140">
        <f t="shared" si="23"/>
        <v>13088900</v>
      </c>
      <c r="I65" s="140">
        <f t="shared" si="23"/>
        <v>1967200</v>
      </c>
      <c r="J65" s="140">
        <f t="shared" si="23"/>
        <v>0</v>
      </c>
    </row>
    <row r="66" spans="1:10" x14ac:dyDescent="0.2">
      <c r="A66" s="129"/>
      <c r="B66" s="129"/>
      <c r="C66" s="129"/>
      <c r="D66" s="129"/>
      <c r="E66" s="129"/>
      <c r="F66" s="129"/>
      <c r="G66" s="129"/>
      <c r="H66" s="129"/>
      <c r="I66" s="129"/>
      <c r="J66" s="129"/>
    </row>
    <row r="67" spans="1:10" ht="15" customHeight="1" x14ac:dyDescent="0.2">
      <c r="A67" s="137" t="s">
        <v>1462</v>
      </c>
      <c r="B67" s="137"/>
      <c r="C67" s="137"/>
      <c r="D67" s="137"/>
      <c r="E67" s="147">
        <f t="shared" ref="E67:J67" si="24">SUM(E49,E65)</f>
        <v>22149039.73</v>
      </c>
      <c r="F67" s="147">
        <f t="shared" si="24"/>
        <v>27985900</v>
      </c>
      <c r="G67" s="147">
        <f t="shared" si="24"/>
        <v>34151400</v>
      </c>
      <c r="H67" s="147">
        <f t="shared" si="24"/>
        <v>32800300</v>
      </c>
      <c r="I67" s="147">
        <f t="shared" si="24"/>
        <v>21839100</v>
      </c>
      <c r="J67" s="147">
        <f t="shared" si="24"/>
        <v>19982600</v>
      </c>
    </row>
    <row r="68" spans="1:10" x14ac:dyDescent="0.2">
      <c r="A68" s="129"/>
      <c r="B68" s="129"/>
      <c r="C68" s="129"/>
      <c r="D68" s="129"/>
      <c r="E68" s="129"/>
      <c r="F68" s="129"/>
      <c r="G68" s="129"/>
      <c r="H68" s="129"/>
      <c r="I68" s="129"/>
      <c r="J68" s="129"/>
    </row>
    <row r="69" spans="1:10" ht="15" customHeight="1" x14ac:dyDescent="0.2">
      <c r="A69" s="128" t="s">
        <v>288</v>
      </c>
      <c r="B69" s="128"/>
      <c r="C69" s="128"/>
      <c r="D69" s="128"/>
      <c r="E69" s="128"/>
      <c r="F69" s="128"/>
      <c r="G69" s="128"/>
      <c r="H69" s="128"/>
      <c r="I69" s="128"/>
      <c r="J69" s="128"/>
    </row>
    <row r="70" spans="1:10" ht="15" customHeight="1" x14ac:dyDescent="0.2">
      <c r="A70" s="137" t="s">
        <v>289</v>
      </c>
      <c r="B70" s="137"/>
      <c r="C70" s="137"/>
      <c r="D70" s="137"/>
      <c r="E70" s="149"/>
      <c r="F70" s="149"/>
      <c r="G70" s="149"/>
      <c r="H70" s="148"/>
      <c r="I70" s="149"/>
      <c r="J70" s="149"/>
    </row>
    <row r="71" spans="1:10" x14ac:dyDescent="0.2">
      <c r="A71" s="129"/>
      <c r="B71" s="129"/>
      <c r="C71" s="129"/>
      <c r="D71" s="129"/>
      <c r="E71" s="129"/>
      <c r="F71" s="129"/>
      <c r="G71" s="129"/>
      <c r="H71" s="129"/>
      <c r="I71" s="129"/>
      <c r="J71" s="129"/>
    </row>
    <row r="72" spans="1:10" ht="15" customHeight="1" x14ac:dyDescent="0.2">
      <c r="A72" s="150" t="s">
        <v>1463</v>
      </c>
      <c r="B72" s="150"/>
      <c r="C72" s="150"/>
      <c r="D72" s="150"/>
      <c r="E72" s="150"/>
      <c r="F72" s="150"/>
      <c r="G72" s="150"/>
      <c r="H72" s="150"/>
      <c r="I72" s="150"/>
      <c r="J72" s="150"/>
    </row>
    <row r="73" spans="1:10" ht="15" customHeight="1" x14ac:dyDescent="0.2">
      <c r="A73" s="389" t="s">
        <v>291</v>
      </c>
      <c r="B73" s="389"/>
      <c r="C73" s="389"/>
      <c r="D73" s="389"/>
      <c r="E73" s="389"/>
      <c r="F73" s="389"/>
      <c r="G73" s="389"/>
      <c r="H73" s="389"/>
      <c r="I73" s="389"/>
      <c r="J73" s="389"/>
    </row>
    <row r="74" spans="1:10" ht="22.15" customHeight="1" x14ac:dyDescent="0.2">
      <c r="A74" s="129" t="s">
        <v>1464</v>
      </c>
      <c r="B74" s="129"/>
      <c r="C74" s="129"/>
      <c r="D74" s="129"/>
      <c r="E74" s="129"/>
      <c r="F74" s="129"/>
      <c r="G74" s="129"/>
      <c r="H74" s="129"/>
      <c r="I74" s="129"/>
      <c r="J74" s="129"/>
    </row>
    <row r="75" spans="1:10" x14ac:dyDescent="0.2">
      <c r="A75" s="128" t="s">
        <v>293</v>
      </c>
      <c r="B75" s="128"/>
      <c r="C75" s="128"/>
      <c r="D75" s="128"/>
      <c r="E75" s="128"/>
      <c r="F75" s="128"/>
      <c r="G75" s="128"/>
      <c r="H75" s="128"/>
      <c r="I75" s="128"/>
      <c r="J75" s="128"/>
    </row>
    <row r="76" spans="1:10" ht="33.75" customHeight="1" x14ac:dyDescent="0.2">
      <c r="A76" s="152" t="s">
        <v>243</v>
      </c>
      <c r="B76" s="151" t="s">
        <v>242</v>
      </c>
      <c r="C76" s="151"/>
      <c r="D76" s="151"/>
      <c r="E76" s="132" t="str">
        <f t="shared" ref="E76:J76" si="25">E25</f>
        <v>Actuals           2014-2015</v>
      </c>
      <c r="F76" s="132" t="str">
        <f t="shared" si="25"/>
        <v>Approved Estimates          2015-2016</v>
      </c>
      <c r="G76" s="132" t="str">
        <f t="shared" si="25"/>
        <v>Revised Estimates                 2015-2016</v>
      </c>
      <c r="H76" s="132" t="str">
        <f t="shared" si="25"/>
        <v>Budget Estimates      2016-2017</v>
      </c>
      <c r="I76" s="132" t="str">
        <f t="shared" si="25"/>
        <v>Forward Estimates     2017-2018</v>
      </c>
      <c r="J76" s="132" t="str">
        <f t="shared" si="25"/>
        <v>Forward Estimates     2018-2019</v>
      </c>
    </row>
    <row r="77" spans="1:10" ht="14.25" customHeight="1" x14ac:dyDescent="0.2">
      <c r="A77" s="207" t="s">
        <v>108</v>
      </c>
      <c r="B77" s="381" t="s">
        <v>334</v>
      </c>
      <c r="C77" s="462"/>
      <c r="D77" s="195"/>
      <c r="E77" s="211">
        <v>347865</v>
      </c>
      <c r="F77" s="211">
        <v>300000</v>
      </c>
      <c r="G77" s="211">
        <v>280300</v>
      </c>
      <c r="H77" s="210">
        <v>300000</v>
      </c>
      <c r="I77" s="211">
        <v>300000</v>
      </c>
      <c r="J77" s="211">
        <v>300000</v>
      </c>
    </row>
    <row r="78" spans="1:10" ht="14.25" customHeight="1" x14ac:dyDescent="0.2">
      <c r="A78" s="207" t="s">
        <v>108</v>
      </c>
      <c r="B78" s="381" t="s">
        <v>1465</v>
      </c>
      <c r="C78" s="462"/>
      <c r="D78" s="195"/>
      <c r="E78" s="211">
        <v>873956.23</v>
      </c>
      <c r="F78" s="211">
        <v>1150000</v>
      </c>
      <c r="G78" s="211">
        <v>1129400</v>
      </c>
      <c r="H78" s="210">
        <v>1150000</v>
      </c>
      <c r="I78" s="211">
        <v>1150000</v>
      </c>
      <c r="J78" s="211">
        <v>1150000</v>
      </c>
    </row>
    <row r="79" spans="1:10" ht="14.25" customHeight="1" x14ac:dyDescent="0.2">
      <c r="A79" s="207">
        <v>122</v>
      </c>
      <c r="B79" s="381" t="s">
        <v>1466</v>
      </c>
      <c r="C79" s="462"/>
      <c r="D79" s="195"/>
      <c r="E79" s="211">
        <v>1030708.1900000001</v>
      </c>
      <c r="F79" s="211">
        <v>2140500</v>
      </c>
      <c r="G79" s="211">
        <v>847200</v>
      </c>
      <c r="H79" s="210">
        <v>997600</v>
      </c>
      <c r="I79" s="211">
        <v>994100</v>
      </c>
      <c r="J79" s="211">
        <v>990600</v>
      </c>
    </row>
    <row r="80" spans="1:10" ht="14.25" customHeight="1" x14ac:dyDescent="0.2">
      <c r="A80" s="207" t="s">
        <v>108</v>
      </c>
      <c r="B80" s="381" t="s">
        <v>1467</v>
      </c>
      <c r="C80" s="462"/>
      <c r="D80" s="195"/>
      <c r="E80" s="211">
        <v>0</v>
      </c>
      <c r="F80" s="211">
        <v>0</v>
      </c>
      <c r="G80" s="211">
        <v>0</v>
      </c>
      <c r="H80" s="210">
        <v>0</v>
      </c>
      <c r="I80" s="211">
        <v>0</v>
      </c>
      <c r="J80" s="211">
        <v>0</v>
      </c>
    </row>
    <row r="81" spans="1:10" ht="14.25" customHeight="1" x14ac:dyDescent="0.2">
      <c r="A81" s="207" t="s">
        <v>114</v>
      </c>
      <c r="B81" s="381" t="s">
        <v>1468</v>
      </c>
      <c r="C81" s="462"/>
      <c r="D81" s="195"/>
      <c r="E81" s="211">
        <v>167314.42000000001</v>
      </c>
      <c r="F81" s="211">
        <v>150000</v>
      </c>
      <c r="G81" s="211">
        <v>144900</v>
      </c>
      <c r="H81" s="210">
        <v>150000</v>
      </c>
      <c r="I81" s="211">
        <v>150000</v>
      </c>
      <c r="J81" s="211">
        <v>150000</v>
      </c>
    </row>
    <row r="82" spans="1:10" ht="14.25" customHeight="1" x14ac:dyDescent="0.2">
      <c r="A82" s="207">
        <v>130</v>
      </c>
      <c r="B82" s="381" t="s">
        <v>1469</v>
      </c>
      <c r="C82" s="462"/>
      <c r="D82" s="195"/>
      <c r="E82" s="211">
        <v>173300.86</v>
      </c>
      <c r="F82" s="211">
        <v>174800</v>
      </c>
      <c r="G82" s="211">
        <v>174800</v>
      </c>
      <c r="H82" s="210">
        <v>175900</v>
      </c>
      <c r="I82" s="211">
        <v>179400</v>
      </c>
      <c r="J82" s="211">
        <v>182900</v>
      </c>
    </row>
    <row r="83" spans="1:10" ht="14.25" customHeight="1" x14ac:dyDescent="0.2">
      <c r="A83" s="207">
        <v>135</v>
      </c>
      <c r="B83" s="381" t="s">
        <v>1470</v>
      </c>
      <c r="C83" s="462"/>
      <c r="D83" s="195"/>
      <c r="E83" s="211">
        <v>8400</v>
      </c>
      <c r="F83" s="211">
        <v>0</v>
      </c>
      <c r="G83" s="211">
        <v>46200</v>
      </c>
      <c r="H83" s="210">
        <v>25200</v>
      </c>
      <c r="I83" s="211">
        <v>0</v>
      </c>
      <c r="J83" s="211">
        <v>0</v>
      </c>
    </row>
    <row r="84" spans="1:10" ht="14.25" customHeight="1" x14ac:dyDescent="0.2">
      <c r="A84" s="207">
        <v>160</v>
      </c>
      <c r="B84" s="381" t="s">
        <v>1031</v>
      </c>
      <c r="C84" s="462"/>
      <c r="D84" s="195"/>
      <c r="E84" s="211">
        <v>0</v>
      </c>
      <c r="F84" s="211">
        <v>4000</v>
      </c>
      <c r="G84" s="211">
        <v>2000</v>
      </c>
      <c r="H84" s="210">
        <v>3000</v>
      </c>
      <c r="I84" s="211">
        <v>3000</v>
      </c>
      <c r="J84" s="211">
        <v>3000</v>
      </c>
    </row>
    <row r="85" spans="1:10" ht="14.25" customHeight="1" x14ac:dyDescent="0.2">
      <c r="A85" s="416">
        <v>160</v>
      </c>
      <c r="B85" s="381" t="s">
        <v>1471</v>
      </c>
      <c r="C85" s="462"/>
      <c r="D85" s="195"/>
      <c r="E85" s="417">
        <v>19700</v>
      </c>
      <c r="F85" s="211">
        <v>100</v>
      </c>
      <c r="G85" s="211">
        <v>100</v>
      </c>
      <c r="H85" s="210">
        <v>100</v>
      </c>
      <c r="I85" s="211">
        <v>100</v>
      </c>
      <c r="J85" s="211">
        <v>100</v>
      </c>
    </row>
    <row r="86" spans="1:10" ht="14.25" customHeight="1" x14ac:dyDescent="0.2">
      <c r="A86" s="207">
        <v>160</v>
      </c>
      <c r="B86" s="381" t="s">
        <v>235</v>
      </c>
      <c r="C86" s="462"/>
      <c r="D86" s="195"/>
      <c r="E86" s="211">
        <v>32754.45</v>
      </c>
      <c r="F86" s="211">
        <v>20000</v>
      </c>
      <c r="G86" s="211">
        <v>11300</v>
      </c>
      <c r="H86" s="210">
        <v>20000</v>
      </c>
      <c r="I86" s="211">
        <v>20000</v>
      </c>
      <c r="J86" s="211">
        <v>20000</v>
      </c>
    </row>
    <row r="87" spans="1:10" x14ac:dyDescent="0.2">
      <c r="A87" s="137" t="s">
        <v>1461</v>
      </c>
      <c r="B87" s="137"/>
      <c r="C87" s="137"/>
      <c r="D87" s="137"/>
      <c r="E87" s="138">
        <f t="shared" ref="E87:J87" si="26">SUM(E77:E86)</f>
        <v>2653999.15</v>
      </c>
      <c r="F87" s="138">
        <f t="shared" si="26"/>
        <v>3939400</v>
      </c>
      <c r="G87" s="138">
        <f t="shared" si="26"/>
        <v>2636200</v>
      </c>
      <c r="H87" s="138">
        <f t="shared" si="26"/>
        <v>2821800</v>
      </c>
      <c r="I87" s="138">
        <f t="shared" si="26"/>
        <v>2796600</v>
      </c>
      <c r="J87" s="138">
        <f t="shared" si="26"/>
        <v>2796600</v>
      </c>
    </row>
    <row r="88" spans="1:10" x14ac:dyDescent="0.2">
      <c r="A88" s="129"/>
      <c r="B88" s="129"/>
      <c r="C88" s="129"/>
      <c r="D88" s="129"/>
      <c r="E88" s="129"/>
      <c r="F88" s="129"/>
      <c r="G88" s="129"/>
      <c r="H88" s="129"/>
      <c r="I88" s="129"/>
      <c r="J88" s="129"/>
    </row>
    <row r="89" spans="1:10" ht="15" customHeight="1" x14ac:dyDescent="0.2">
      <c r="A89" s="128" t="s">
        <v>284</v>
      </c>
      <c r="B89" s="128"/>
      <c r="C89" s="128"/>
      <c r="D89" s="128"/>
      <c r="E89" s="128"/>
      <c r="F89" s="128"/>
      <c r="G89" s="128"/>
      <c r="H89" s="128"/>
      <c r="I89" s="128"/>
      <c r="J89" s="128"/>
    </row>
    <row r="90" spans="1:10" ht="33.75" x14ac:dyDescent="0.2">
      <c r="A90" s="152" t="s">
        <v>243</v>
      </c>
      <c r="B90" s="151" t="s">
        <v>242</v>
      </c>
      <c r="C90" s="151"/>
      <c r="D90" s="151"/>
      <c r="E90" s="132" t="str">
        <f t="shared" ref="E90:J90" si="27">E25</f>
        <v>Actuals           2014-2015</v>
      </c>
      <c r="F90" s="132" t="str">
        <f t="shared" si="27"/>
        <v>Approved Estimates          2015-2016</v>
      </c>
      <c r="G90" s="132" t="str">
        <f t="shared" si="27"/>
        <v>Revised Estimates                 2015-2016</v>
      </c>
      <c r="H90" s="132" t="str">
        <f t="shared" si="27"/>
        <v>Budget Estimates      2016-2017</v>
      </c>
      <c r="I90" s="132" t="str">
        <f t="shared" si="27"/>
        <v>Forward Estimates     2017-2018</v>
      </c>
      <c r="J90" s="132" t="str">
        <f t="shared" si="27"/>
        <v>Forward Estimates     2018-2019</v>
      </c>
    </row>
    <row r="91" spans="1:10" ht="10.5" customHeight="1" x14ac:dyDescent="0.2">
      <c r="A91" s="151" t="s">
        <v>7</v>
      </c>
      <c r="B91" s="151"/>
      <c r="C91" s="151"/>
      <c r="D91" s="151"/>
      <c r="E91" s="151"/>
      <c r="F91" s="151"/>
      <c r="G91" s="151"/>
      <c r="H91" s="151"/>
      <c r="I91" s="151"/>
      <c r="J91" s="190"/>
    </row>
    <row r="92" spans="1:10" x14ac:dyDescent="0.2">
      <c r="A92" s="207">
        <v>210</v>
      </c>
      <c r="B92" s="129" t="s">
        <v>7</v>
      </c>
      <c r="C92" s="129"/>
      <c r="D92" s="129"/>
      <c r="E92" s="211">
        <v>726819.5</v>
      </c>
      <c r="F92" s="209">
        <v>769200</v>
      </c>
      <c r="G92" s="211">
        <v>723400</v>
      </c>
      <c r="H92" s="210">
        <v>818200</v>
      </c>
      <c r="I92" s="211">
        <v>835300</v>
      </c>
      <c r="J92" s="211">
        <v>852500</v>
      </c>
    </row>
    <row r="93" spans="1:10" x14ac:dyDescent="0.2">
      <c r="A93" s="207">
        <v>212</v>
      </c>
      <c r="B93" s="129" t="s">
        <v>9</v>
      </c>
      <c r="C93" s="129"/>
      <c r="D93" s="129"/>
      <c r="E93" s="211">
        <v>0</v>
      </c>
      <c r="F93" s="209">
        <v>0</v>
      </c>
      <c r="G93" s="211">
        <v>0</v>
      </c>
      <c r="H93" s="210">
        <v>0</v>
      </c>
      <c r="I93" s="211">
        <v>0</v>
      </c>
      <c r="J93" s="211">
        <v>0</v>
      </c>
    </row>
    <row r="94" spans="1:10" x14ac:dyDescent="0.2">
      <c r="A94" s="207">
        <v>216</v>
      </c>
      <c r="B94" s="129" t="s">
        <v>10</v>
      </c>
      <c r="C94" s="129"/>
      <c r="D94" s="129"/>
      <c r="E94" s="211">
        <v>176403.76</v>
      </c>
      <c r="F94" s="209">
        <v>189000</v>
      </c>
      <c r="G94" s="211">
        <v>189000</v>
      </c>
      <c r="H94" s="210">
        <v>201700</v>
      </c>
      <c r="I94" s="211">
        <v>201700</v>
      </c>
      <c r="J94" s="211">
        <v>201700</v>
      </c>
    </row>
    <row r="95" spans="1:10" x14ac:dyDescent="0.2">
      <c r="A95" s="207">
        <v>218</v>
      </c>
      <c r="B95" s="129" t="s">
        <v>294</v>
      </c>
      <c r="C95" s="129"/>
      <c r="D95" s="129"/>
      <c r="E95" s="211">
        <v>0</v>
      </c>
      <c r="F95" s="209">
        <v>0</v>
      </c>
      <c r="G95" s="211">
        <v>0</v>
      </c>
      <c r="H95" s="210">
        <v>0</v>
      </c>
      <c r="I95" s="211">
        <v>0</v>
      </c>
      <c r="J95" s="211">
        <v>0</v>
      </c>
    </row>
    <row r="96" spans="1:10" ht="15" customHeight="1" x14ac:dyDescent="0.2">
      <c r="A96" s="156" t="s">
        <v>295</v>
      </c>
      <c r="B96" s="156"/>
      <c r="C96" s="156"/>
      <c r="D96" s="156"/>
      <c r="E96" s="157">
        <f t="shared" ref="E96:J96" si="28">SUM(E92:E95)</f>
        <v>903223.26</v>
      </c>
      <c r="F96" s="157">
        <f t="shared" si="28"/>
        <v>958200</v>
      </c>
      <c r="G96" s="157">
        <f t="shared" si="28"/>
        <v>912400</v>
      </c>
      <c r="H96" s="157">
        <f t="shared" si="28"/>
        <v>1019900</v>
      </c>
      <c r="I96" s="157">
        <f t="shared" si="28"/>
        <v>1037000</v>
      </c>
      <c r="J96" s="157">
        <f t="shared" si="28"/>
        <v>1054200</v>
      </c>
    </row>
    <row r="97" spans="1:10" ht="12" customHeight="1" x14ac:dyDescent="0.2">
      <c r="A97" s="156" t="s">
        <v>296</v>
      </c>
      <c r="B97" s="156"/>
      <c r="C97" s="156"/>
      <c r="D97" s="156"/>
      <c r="E97" s="156"/>
      <c r="F97" s="156"/>
      <c r="G97" s="156"/>
      <c r="H97" s="156"/>
      <c r="I97" s="156"/>
      <c r="J97" s="190"/>
    </row>
    <row r="98" spans="1:10" x14ac:dyDescent="0.2">
      <c r="A98" s="207">
        <v>222</v>
      </c>
      <c r="B98" s="129" t="s">
        <v>205</v>
      </c>
      <c r="C98" s="129"/>
      <c r="D98" s="129"/>
      <c r="E98" s="211">
        <v>41561.75</v>
      </c>
      <c r="F98" s="211">
        <v>60000</v>
      </c>
      <c r="G98" s="211">
        <v>60000</v>
      </c>
      <c r="H98" s="210">
        <v>40000</v>
      </c>
      <c r="I98" s="211">
        <v>40000</v>
      </c>
      <c r="J98" s="211">
        <v>40000</v>
      </c>
    </row>
    <row r="99" spans="1:10" x14ac:dyDescent="0.2">
      <c r="A99" s="207">
        <v>224</v>
      </c>
      <c r="B99" s="129" t="s">
        <v>206</v>
      </c>
      <c r="C99" s="129"/>
      <c r="D99" s="129"/>
      <c r="E99" s="211">
        <v>414594.18</v>
      </c>
      <c r="F99" s="211">
        <v>550000</v>
      </c>
      <c r="G99" s="211">
        <v>550000</v>
      </c>
      <c r="H99" s="210">
        <v>550000</v>
      </c>
      <c r="I99" s="211">
        <v>550000</v>
      </c>
      <c r="J99" s="211">
        <v>550000</v>
      </c>
    </row>
    <row r="100" spans="1:10" x14ac:dyDescent="0.2">
      <c r="A100" s="207">
        <v>226</v>
      </c>
      <c r="B100" s="129" t="s">
        <v>207</v>
      </c>
      <c r="C100" s="129"/>
      <c r="D100" s="129"/>
      <c r="E100" s="211">
        <v>52471.7</v>
      </c>
      <c r="F100" s="211">
        <v>62000</v>
      </c>
      <c r="G100" s="211">
        <v>62000</v>
      </c>
      <c r="H100" s="210">
        <v>62000</v>
      </c>
      <c r="I100" s="211">
        <v>62000</v>
      </c>
      <c r="J100" s="211">
        <v>62000</v>
      </c>
    </row>
    <row r="101" spans="1:10" x14ac:dyDescent="0.2">
      <c r="A101" s="207">
        <v>228</v>
      </c>
      <c r="B101" s="129" t="s">
        <v>208</v>
      </c>
      <c r="C101" s="129"/>
      <c r="D101" s="129"/>
      <c r="E101" s="211">
        <v>19987.86</v>
      </c>
      <c r="F101" s="211">
        <v>20000</v>
      </c>
      <c r="G101" s="211">
        <v>25000</v>
      </c>
      <c r="H101" s="210">
        <v>25000</v>
      </c>
      <c r="I101" s="211">
        <v>25000</v>
      </c>
      <c r="J101" s="211">
        <v>25000</v>
      </c>
    </row>
    <row r="102" spans="1:10" x14ac:dyDescent="0.2">
      <c r="A102" s="207">
        <v>229</v>
      </c>
      <c r="B102" s="129" t="s">
        <v>209</v>
      </c>
      <c r="C102" s="129"/>
      <c r="D102" s="129"/>
      <c r="E102" s="211">
        <v>98796.34</v>
      </c>
      <c r="F102" s="211">
        <v>100000</v>
      </c>
      <c r="G102" s="211">
        <v>100000</v>
      </c>
      <c r="H102" s="210">
        <v>100000</v>
      </c>
      <c r="I102" s="211">
        <v>100000</v>
      </c>
      <c r="J102" s="211">
        <v>100000</v>
      </c>
    </row>
    <row r="103" spans="1:10" x14ac:dyDescent="0.2">
      <c r="A103" s="207">
        <v>230</v>
      </c>
      <c r="B103" s="129" t="s">
        <v>210</v>
      </c>
      <c r="C103" s="129"/>
      <c r="D103" s="129"/>
      <c r="E103" s="211">
        <v>9948.5</v>
      </c>
      <c r="F103" s="211">
        <v>10000</v>
      </c>
      <c r="G103" s="211">
        <v>10000</v>
      </c>
      <c r="H103" s="210">
        <v>10000</v>
      </c>
      <c r="I103" s="211">
        <v>10000</v>
      </c>
      <c r="J103" s="211">
        <v>10000</v>
      </c>
    </row>
    <row r="104" spans="1:10" x14ac:dyDescent="0.2">
      <c r="A104" s="207">
        <v>232</v>
      </c>
      <c r="B104" s="129" t="s">
        <v>211</v>
      </c>
      <c r="C104" s="129"/>
      <c r="D104" s="129"/>
      <c r="E104" s="211">
        <v>7937.2</v>
      </c>
      <c r="F104" s="211">
        <v>8000</v>
      </c>
      <c r="G104" s="211">
        <v>8000</v>
      </c>
      <c r="H104" s="210">
        <v>8000</v>
      </c>
      <c r="I104" s="211">
        <v>8000</v>
      </c>
      <c r="J104" s="211">
        <v>8000</v>
      </c>
    </row>
    <row r="105" spans="1:10" x14ac:dyDescent="0.2">
      <c r="A105" s="207">
        <v>236</v>
      </c>
      <c r="B105" s="129" t="s">
        <v>213</v>
      </c>
      <c r="C105" s="129"/>
      <c r="D105" s="129"/>
      <c r="E105" s="211">
        <v>71643.44</v>
      </c>
      <c r="F105" s="211">
        <v>72000</v>
      </c>
      <c r="G105" s="211">
        <v>78000</v>
      </c>
      <c r="H105" s="210">
        <v>70000</v>
      </c>
      <c r="I105" s="211">
        <v>70000</v>
      </c>
      <c r="J105" s="211">
        <v>70000</v>
      </c>
    </row>
    <row r="106" spans="1:10" x14ac:dyDescent="0.2">
      <c r="A106" s="207">
        <v>246</v>
      </c>
      <c r="B106" s="129" t="s">
        <v>218</v>
      </c>
      <c r="C106" s="129"/>
      <c r="D106" s="129"/>
      <c r="E106" s="211">
        <v>18000</v>
      </c>
      <c r="F106" s="211">
        <v>13000</v>
      </c>
      <c r="G106" s="211">
        <v>16000</v>
      </c>
      <c r="H106" s="210">
        <v>13000</v>
      </c>
      <c r="I106" s="211">
        <v>13000</v>
      </c>
      <c r="J106" s="211">
        <v>13000</v>
      </c>
    </row>
    <row r="107" spans="1:10" x14ac:dyDescent="0.2">
      <c r="A107" s="207">
        <v>260</v>
      </c>
      <c r="B107" s="129" t="s">
        <v>220</v>
      </c>
      <c r="C107" s="129"/>
      <c r="D107" s="129"/>
      <c r="E107" s="211">
        <v>167011.71</v>
      </c>
      <c r="F107" s="211">
        <v>800200</v>
      </c>
      <c r="G107" s="211">
        <v>800200</v>
      </c>
      <c r="H107" s="210">
        <v>800200</v>
      </c>
      <c r="I107" s="211">
        <v>800200</v>
      </c>
      <c r="J107" s="211">
        <v>800200</v>
      </c>
    </row>
    <row r="108" spans="1:10" x14ac:dyDescent="0.2">
      <c r="A108" s="207">
        <v>261</v>
      </c>
      <c r="B108" s="129" t="s">
        <v>221</v>
      </c>
      <c r="C108" s="129"/>
      <c r="D108" s="129"/>
      <c r="E108" s="211">
        <v>6495300</v>
      </c>
      <c r="F108" s="211">
        <v>6828000</v>
      </c>
      <c r="G108" s="211">
        <v>6030000</v>
      </c>
      <c r="H108" s="210">
        <f>5400000+400000</f>
        <v>5800000</v>
      </c>
      <c r="I108" s="211">
        <f t="shared" ref="I108:J108" si="29">5400000+400000</f>
        <v>5800000</v>
      </c>
      <c r="J108" s="211">
        <f t="shared" si="29"/>
        <v>5800000</v>
      </c>
    </row>
    <row r="109" spans="1:10" x14ac:dyDescent="0.2">
      <c r="A109" s="207">
        <v>272</v>
      </c>
      <c r="B109" s="129" t="s">
        <v>225</v>
      </c>
      <c r="C109" s="129"/>
      <c r="D109" s="129"/>
      <c r="E109" s="211">
        <v>0</v>
      </c>
      <c r="F109" s="211">
        <v>10000</v>
      </c>
      <c r="G109" s="211">
        <v>10000</v>
      </c>
      <c r="H109" s="210">
        <v>10000</v>
      </c>
      <c r="I109" s="211">
        <v>10000</v>
      </c>
      <c r="J109" s="211">
        <v>10000</v>
      </c>
    </row>
    <row r="110" spans="1:10" x14ac:dyDescent="0.2">
      <c r="A110" s="207">
        <v>275</v>
      </c>
      <c r="B110" s="129" t="s">
        <v>228</v>
      </c>
      <c r="C110" s="129"/>
      <c r="D110" s="129"/>
      <c r="E110" s="211">
        <v>5652.23</v>
      </c>
      <c r="F110" s="211">
        <v>11000</v>
      </c>
      <c r="G110" s="211">
        <v>39000</v>
      </c>
      <c r="H110" s="210">
        <v>25000</v>
      </c>
      <c r="I110" s="211">
        <v>25000</v>
      </c>
      <c r="J110" s="211">
        <v>25000</v>
      </c>
    </row>
    <row r="111" spans="1:10" x14ac:dyDescent="0.2">
      <c r="A111" s="207">
        <v>281</v>
      </c>
      <c r="B111" s="129" t="s">
        <v>1472</v>
      </c>
      <c r="C111" s="129"/>
      <c r="D111" s="129"/>
      <c r="E111" s="211">
        <v>29955.95</v>
      </c>
      <c r="F111" s="211">
        <v>30000</v>
      </c>
      <c r="G111" s="211">
        <v>30000</v>
      </c>
      <c r="H111" s="210">
        <v>30000</v>
      </c>
      <c r="I111" s="211">
        <v>30000</v>
      </c>
      <c r="J111" s="211">
        <v>30000</v>
      </c>
    </row>
    <row r="112" spans="1:10" x14ac:dyDescent="0.2">
      <c r="A112" s="207">
        <v>282</v>
      </c>
      <c r="B112" s="129" t="s">
        <v>235</v>
      </c>
      <c r="C112" s="129"/>
      <c r="D112" s="129"/>
      <c r="E112" s="211">
        <v>104995.69</v>
      </c>
      <c r="F112" s="211">
        <v>75000</v>
      </c>
      <c r="G112" s="211">
        <v>125000</v>
      </c>
      <c r="H112" s="210">
        <v>80000</v>
      </c>
      <c r="I112" s="211">
        <v>80000</v>
      </c>
      <c r="J112" s="211">
        <v>80000</v>
      </c>
    </row>
    <row r="113" spans="1:10" ht="15" customHeight="1" x14ac:dyDescent="0.2">
      <c r="A113" s="156" t="s">
        <v>298</v>
      </c>
      <c r="B113" s="156"/>
      <c r="C113" s="156"/>
      <c r="D113" s="156"/>
      <c r="E113" s="157">
        <f t="shared" ref="E113:J113" si="30">SUM(E98:E112)</f>
        <v>7537856.5500000007</v>
      </c>
      <c r="F113" s="264">
        <f t="shared" si="30"/>
        <v>8649200</v>
      </c>
      <c r="G113" s="157">
        <f t="shared" si="30"/>
        <v>7943200</v>
      </c>
      <c r="H113" s="157">
        <f t="shared" si="30"/>
        <v>7623200</v>
      </c>
      <c r="I113" s="157">
        <f t="shared" si="30"/>
        <v>7623200</v>
      </c>
      <c r="J113" s="157">
        <f t="shared" si="30"/>
        <v>7623200</v>
      </c>
    </row>
    <row r="114" spans="1:10" x14ac:dyDescent="0.2">
      <c r="A114" s="159" t="s">
        <v>299</v>
      </c>
      <c r="B114" s="159"/>
      <c r="C114" s="159"/>
      <c r="D114" s="159"/>
      <c r="E114" s="160">
        <f t="shared" ref="E114:J114" si="31">SUM(E96,E113)</f>
        <v>8441079.8100000005</v>
      </c>
      <c r="F114" s="160">
        <f t="shared" si="31"/>
        <v>9607400</v>
      </c>
      <c r="G114" s="160">
        <f t="shared" si="31"/>
        <v>8855600</v>
      </c>
      <c r="H114" s="160">
        <f t="shared" si="31"/>
        <v>8643100</v>
      </c>
      <c r="I114" s="160">
        <f t="shared" si="31"/>
        <v>8660200</v>
      </c>
      <c r="J114" s="160">
        <f t="shared" si="31"/>
        <v>8677400</v>
      </c>
    </row>
    <row r="115" spans="1:10" ht="12" customHeight="1" x14ac:dyDescent="0.2">
      <c r="A115" s="129"/>
      <c r="B115" s="129"/>
      <c r="C115" s="129"/>
      <c r="D115" s="129"/>
      <c r="E115" s="129"/>
      <c r="F115" s="129"/>
      <c r="G115" s="129"/>
      <c r="H115" s="129"/>
      <c r="I115" s="129"/>
      <c r="J115" s="190"/>
    </row>
    <row r="116" spans="1:10" x14ac:dyDescent="0.2">
      <c r="A116" s="162" t="s">
        <v>15</v>
      </c>
      <c r="B116" s="162"/>
      <c r="C116" s="162"/>
      <c r="D116" s="162"/>
      <c r="E116" s="162"/>
      <c r="F116" s="162"/>
      <c r="G116" s="162"/>
      <c r="H116" s="162"/>
      <c r="I116" s="162"/>
      <c r="J116" s="162"/>
    </row>
    <row r="117" spans="1:10" ht="19.5" customHeight="1" x14ac:dyDescent="0.2">
      <c r="A117" s="131" t="s">
        <v>242</v>
      </c>
      <c r="B117" s="131"/>
      <c r="C117" s="131"/>
      <c r="D117" s="131"/>
      <c r="E117" s="128" t="str">
        <f t="shared" ref="E117:J117" si="32">E25</f>
        <v>Actuals           2014-2015</v>
      </c>
      <c r="F117" s="128" t="str">
        <f t="shared" si="32"/>
        <v>Approved Estimates          2015-2016</v>
      </c>
      <c r="G117" s="128" t="str">
        <f t="shared" si="32"/>
        <v>Revised Estimates                 2015-2016</v>
      </c>
      <c r="H117" s="128" t="str">
        <f t="shared" si="32"/>
        <v>Budget Estimates      2016-2017</v>
      </c>
      <c r="I117" s="128" t="str">
        <f t="shared" si="32"/>
        <v>Forward Estimates     2017-2018</v>
      </c>
      <c r="J117" s="128" t="str">
        <f t="shared" si="32"/>
        <v>Forward Estimates     2018-2019</v>
      </c>
    </row>
    <row r="118" spans="1:10" x14ac:dyDescent="0.2">
      <c r="A118" s="130" t="s">
        <v>243</v>
      </c>
      <c r="B118" s="130" t="s">
        <v>244</v>
      </c>
      <c r="C118" s="131" t="s">
        <v>245</v>
      </c>
      <c r="D118" s="131"/>
      <c r="E118" s="101"/>
      <c r="F118" s="101"/>
      <c r="G118" s="101"/>
      <c r="H118" s="101"/>
      <c r="I118" s="101"/>
      <c r="J118" s="101"/>
    </row>
    <row r="119" spans="1:10" ht="15" customHeight="1" x14ac:dyDescent="0.2">
      <c r="A119" s="335" t="s">
        <v>1473</v>
      </c>
      <c r="B119" s="483" t="s">
        <v>633</v>
      </c>
      <c r="C119" s="484" t="s">
        <v>1474</v>
      </c>
      <c r="D119" s="485"/>
      <c r="E119" s="158">
        <v>1812300</v>
      </c>
      <c r="F119" s="158">
        <v>4100000</v>
      </c>
      <c r="G119" s="158">
        <v>7006100</v>
      </c>
      <c r="H119" s="136">
        <v>4800000</v>
      </c>
      <c r="I119" s="158">
        <v>0</v>
      </c>
      <c r="J119" s="135">
        <v>0</v>
      </c>
    </row>
    <row r="120" spans="1:10" ht="15" customHeight="1" x14ac:dyDescent="0.2">
      <c r="A120" s="335" t="s">
        <v>1475</v>
      </c>
      <c r="B120" s="483" t="s">
        <v>633</v>
      </c>
      <c r="C120" s="484" t="s">
        <v>1476</v>
      </c>
      <c r="D120" s="485"/>
      <c r="E120" s="158">
        <v>102100</v>
      </c>
      <c r="F120" s="158">
        <v>0</v>
      </c>
      <c r="G120" s="158">
        <v>20500</v>
      </c>
      <c r="H120" s="136">
        <v>0</v>
      </c>
      <c r="I120" s="158">
        <v>0</v>
      </c>
      <c r="J120" s="135">
        <v>0</v>
      </c>
    </row>
    <row r="121" spans="1:10" ht="15" customHeight="1" x14ac:dyDescent="0.2">
      <c r="A121" s="335" t="s">
        <v>1477</v>
      </c>
      <c r="B121" s="483" t="s">
        <v>633</v>
      </c>
      <c r="C121" s="484" t="s">
        <v>1478</v>
      </c>
      <c r="D121" s="485"/>
      <c r="E121" s="158">
        <v>92200</v>
      </c>
      <c r="F121" s="158">
        <v>0</v>
      </c>
      <c r="G121" s="158">
        <v>0</v>
      </c>
      <c r="H121" s="136">
        <v>0</v>
      </c>
      <c r="I121" s="158">
        <v>0</v>
      </c>
      <c r="J121" s="135">
        <v>0</v>
      </c>
    </row>
    <row r="122" spans="1:10" ht="15" customHeight="1" x14ac:dyDescent="0.2">
      <c r="A122" s="335" t="s">
        <v>1479</v>
      </c>
      <c r="B122" s="483" t="s">
        <v>633</v>
      </c>
      <c r="C122" s="484" t="s">
        <v>1480</v>
      </c>
      <c r="D122" s="485"/>
      <c r="E122" s="158">
        <v>0</v>
      </c>
      <c r="F122" s="158">
        <v>0</v>
      </c>
      <c r="G122" s="158">
        <v>441500</v>
      </c>
      <c r="H122" s="136">
        <v>274300</v>
      </c>
      <c r="I122" s="158">
        <v>0</v>
      </c>
      <c r="J122" s="135">
        <v>0</v>
      </c>
    </row>
    <row r="123" spans="1:10" ht="15" customHeight="1" x14ac:dyDescent="0.2">
      <c r="A123" s="335" t="s">
        <v>1481</v>
      </c>
      <c r="B123" s="483" t="s">
        <v>633</v>
      </c>
      <c r="C123" s="484" t="s">
        <v>1482</v>
      </c>
      <c r="D123" s="485"/>
      <c r="E123" s="158">
        <v>775400</v>
      </c>
      <c r="F123" s="158">
        <v>0</v>
      </c>
      <c r="G123" s="158">
        <v>0</v>
      </c>
      <c r="H123" s="136">
        <v>0</v>
      </c>
      <c r="I123" s="158">
        <v>0</v>
      </c>
      <c r="J123" s="135">
        <v>0</v>
      </c>
    </row>
    <row r="124" spans="1:10" ht="15" customHeight="1" x14ac:dyDescent="0.2">
      <c r="A124" s="335" t="s">
        <v>1483</v>
      </c>
      <c r="B124" s="483" t="s">
        <v>859</v>
      </c>
      <c r="C124" s="484" t="s">
        <v>1484</v>
      </c>
      <c r="D124" s="485"/>
      <c r="E124" s="158">
        <v>0</v>
      </c>
      <c r="F124" s="158">
        <v>3000000</v>
      </c>
      <c r="G124" s="158">
        <v>3000000</v>
      </c>
      <c r="H124" s="136">
        <v>3000000</v>
      </c>
      <c r="I124" s="158">
        <v>0</v>
      </c>
      <c r="J124" s="135">
        <v>0</v>
      </c>
    </row>
    <row r="125" spans="1:10" ht="15" customHeight="1" x14ac:dyDescent="0.2">
      <c r="A125" s="335" t="s">
        <v>1485</v>
      </c>
      <c r="B125" s="483" t="s">
        <v>859</v>
      </c>
      <c r="C125" s="484" t="s">
        <v>1486</v>
      </c>
      <c r="D125" s="485"/>
      <c r="E125" s="158">
        <v>0</v>
      </c>
      <c r="F125" s="158">
        <v>175000</v>
      </c>
      <c r="G125" s="158">
        <v>175000</v>
      </c>
      <c r="H125" s="136">
        <v>30000</v>
      </c>
      <c r="I125" s="158">
        <v>0</v>
      </c>
      <c r="J125" s="135">
        <v>0</v>
      </c>
    </row>
    <row r="126" spans="1:10" ht="15" customHeight="1" x14ac:dyDescent="0.2">
      <c r="A126" s="335" t="s">
        <v>1487</v>
      </c>
      <c r="B126" s="483" t="s">
        <v>633</v>
      </c>
      <c r="C126" s="484" t="s">
        <v>1488</v>
      </c>
      <c r="D126" s="485"/>
      <c r="E126" s="158">
        <v>0</v>
      </c>
      <c r="F126" s="158">
        <v>0</v>
      </c>
      <c r="G126" s="158">
        <v>820000</v>
      </c>
      <c r="H126" s="136">
        <v>725100</v>
      </c>
      <c r="I126" s="158">
        <v>0</v>
      </c>
      <c r="J126" s="135">
        <v>0</v>
      </c>
    </row>
    <row r="127" spans="1:10" ht="15" customHeight="1" x14ac:dyDescent="0.2">
      <c r="A127" s="335" t="s">
        <v>1489</v>
      </c>
      <c r="B127" s="483" t="s">
        <v>633</v>
      </c>
      <c r="C127" s="484" t="s">
        <v>1490</v>
      </c>
      <c r="D127" s="485"/>
      <c r="E127" s="158">
        <v>0</v>
      </c>
      <c r="F127" s="158">
        <v>0</v>
      </c>
      <c r="G127" s="158">
        <v>580000</v>
      </c>
      <c r="H127" s="136">
        <v>1282500</v>
      </c>
      <c r="I127" s="158">
        <v>1113500</v>
      </c>
      <c r="J127" s="135">
        <v>0</v>
      </c>
    </row>
    <row r="128" spans="1:10" ht="15" customHeight="1" x14ac:dyDescent="0.2">
      <c r="A128" s="335" t="s">
        <v>1491</v>
      </c>
      <c r="B128" s="483" t="s">
        <v>633</v>
      </c>
      <c r="C128" s="484" t="s">
        <v>1492</v>
      </c>
      <c r="D128" s="485"/>
      <c r="E128" s="158">
        <v>0</v>
      </c>
      <c r="F128" s="158">
        <v>0</v>
      </c>
      <c r="G128" s="158">
        <v>0</v>
      </c>
      <c r="H128" s="136">
        <v>1113500</v>
      </c>
      <c r="I128" s="158">
        <v>0</v>
      </c>
      <c r="J128" s="135">
        <v>0</v>
      </c>
    </row>
    <row r="129" spans="1:10" ht="15" customHeight="1" x14ac:dyDescent="0.2">
      <c r="A129" s="335" t="s">
        <v>1493</v>
      </c>
      <c r="B129" s="483" t="s">
        <v>633</v>
      </c>
      <c r="C129" s="484" t="s">
        <v>1494</v>
      </c>
      <c r="D129" s="485"/>
      <c r="E129" s="158">
        <v>0</v>
      </c>
      <c r="F129" s="158">
        <v>0</v>
      </c>
      <c r="G129" s="158">
        <v>1763300</v>
      </c>
      <c r="H129" s="136">
        <v>1043800</v>
      </c>
      <c r="I129" s="158">
        <v>756700</v>
      </c>
      <c r="J129" s="135"/>
    </row>
    <row r="130" spans="1:10" ht="15" customHeight="1" x14ac:dyDescent="0.2">
      <c r="A130" s="335" t="s">
        <v>1495</v>
      </c>
      <c r="B130" s="483" t="s">
        <v>633</v>
      </c>
      <c r="C130" s="484" t="s">
        <v>1496</v>
      </c>
      <c r="D130" s="485"/>
      <c r="E130" s="158">
        <v>0</v>
      </c>
      <c r="F130" s="158">
        <v>0</v>
      </c>
      <c r="G130" s="158">
        <v>627000</v>
      </c>
      <c r="H130" s="136">
        <v>819700</v>
      </c>
      <c r="I130" s="158">
        <v>97000</v>
      </c>
      <c r="J130" s="135"/>
    </row>
    <row r="131" spans="1:10" ht="9.75" customHeight="1" x14ac:dyDescent="0.2">
      <c r="A131" s="137" t="s">
        <v>15</v>
      </c>
      <c r="B131" s="137"/>
      <c r="C131" s="137"/>
      <c r="D131" s="137"/>
      <c r="E131" s="138">
        <f t="shared" ref="E131:J131" si="33">SUM(E119:E130)</f>
        <v>2782000</v>
      </c>
      <c r="F131" s="138">
        <f t="shared" si="33"/>
        <v>7275000</v>
      </c>
      <c r="G131" s="138">
        <f t="shared" si="33"/>
        <v>14433400</v>
      </c>
      <c r="H131" s="138">
        <f t="shared" si="33"/>
        <v>13088900</v>
      </c>
      <c r="I131" s="138">
        <f t="shared" si="33"/>
        <v>1967200</v>
      </c>
      <c r="J131" s="138">
        <f t="shared" si="33"/>
        <v>0</v>
      </c>
    </row>
    <row r="132" spans="1:10" ht="12.75" customHeight="1" x14ac:dyDescent="0.2">
      <c r="A132" s="290"/>
      <c r="B132" s="290"/>
      <c r="C132" s="290"/>
      <c r="D132" s="290"/>
      <c r="E132" s="290"/>
      <c r="F132" s="290"/>
      <c r="G132" s="290"/>
      <c r="H132" s="290"/>
      <c r="I132" s="290"/>
      <c r="J132" s="290"/>
    </row>
    <row r="133" spans="1:10" ht="12.75" customHeight="1" x14ac:dyDescent="0.2">
      <c r="A133" s="161" t="s">
        <v>288</v>
      </c>
      <c r="B133" s="161"/>
      <c r="C133" s="161"/>
      <c r="D133" s="161"/>
      <c r="E133" s="161"/>
      <c r="F133" s="161"/>
      <c r="G133" s="161"/>
      <c r="H133" s="161"/>
      <c r="I133" s="161"/>
      <c r="J133" s="161"/>
    </row>
    <row r="134" spans="1:10" x14ac:dyDescent="0.2">
      <c r="A134" s="131" t="s">
        <v>300</v>
      </c>
      <c r="B134" s="131"/>
      <c r="C134" s="131"/>
      <c r="D134" s="132" t="s">
        <v>301</v>
      </c>
      <c r="E134" s="132" t="s">
        <v>302</v>
      </c>
      <c r="F134" s="131" t="s">
        <v>300</v>
      </c>
      <c r="G134" s="131"/>
      <c r="H134" s="131"/>
      <c r="I134" s="132" t="s">
        <v>301</v>
      </c>
      <c r="J134" s="132" t="s">
        <v>302</v>
      </c>
    </row>
    <row r="135" spans="1:10" x14ac:dyDescent="0.2">
      <c r="A135" s="134" t="str">
        <f>Establishment!D413</f>
        <v>Minister</v>
      </c>
      <c r="B135" s="134"/>
      <c r="C135" s="134"/>
      <c r="D135" s="133">
        <f>Establishment!E413</f>
        <v>0</v>
      </c>
      <c r="E135" s="133">
        <f>Establishment!C413</f>
        <v>1</v>
      </c>
      <c r="F135" s="134" t="str">
        <f>Establishment!D419</f>
        <v>Storekeeper</v>
      </c>
      <c r="G135" s="134"/>
      <c r="H135" s="134"/>
      <c r="I135" s="133" t="str">
        <f>Establishment!E419</f>
        <v>R28-22</v>
      </c>
      <c r="J135" s="133">
        <f>Establishment!C419</f>
        <v>1</v>
      </c>
    </row>
    <row r="136" spans="1:10" x14ac:dyDescent="0.2">
      <c r="A136" s="134" t="str">
        <f>Establishment!D414</f>
        <v>Permanent Secretary</v>
      </c>
      <c r="B136" s="134"/>
      <c r="C136" s="134"/>
      <c r="D136" s="133" t="str">
        <f>Establishment!E414</f>
        <v>R5</v>
      </c>
      <c r="E136" s="133">
        <f>Establishment!C414</f>
        <v>1</v>
      </c>
      <c r="F136" s="134" t="str">
        <f>Establishment!D420</f>
        <v>Vehicle Tester</v>
      </c>
      <c r="G136" s="134"/>
      <c r="H136" s="134"/>
      <c r="I136" s="133" t="str">
        <f>Establishment!E420</f>
        <v>R28-22</v>
      </c>
      <c r="J136" s="133">
        <f>Establishment!C420</f>
        <v>1</v>
      </c>
    </row>
    <row r="137" spans="1:10" x14ac:dyDescent="0.2">
      <c r="A137" s="134" t="str">
        <f>Establishment!D415</f>
        <v>Director</v>
      </c>
      <c r="B137" s="134"/>
      <c r="C137" s="134"/>
      <c r="D137" s="133" t="str">
        <f>Establishment!E415</f>
        <v>R7</v>
      </c>
      <c r="E137" s="133">
        <f>Establishment!C415</f>
        <v>1</v>
      </c>
      <c r="F137" s="134" t="str">
        <f>Establishment!D421</f>
        <v>Clerical Officer (Snr)</v>
      </c>
      <c r="G137" s="134"/>
      <c r="H137" s="134"/>
      <c r="I137" s="133" t="str">
        <f>Establishment!E421</f>
        <v>R33-29</v>
      </c>
      <c r="J137" s="133">
        <f>Establishment!C421</f>
        <v>2</v>
      </c>
    </row>
    <row r="138" spans="1:10" x14ac:dyDescent="0.2">
      <c r="A138" s="134" t="str">
        <f>Establishment!D416</f>
        <v>Access Coordinator</v>
      </c>
      <c r="B138" s="134"/>
      <c r="C138" s="134"/>
      <c r="D138" s="133" t="str">
        <f>Establishment!E416</f>
        <v>R7</v>
      </c>
      <c r="E138" s="133">
        <f>Establishment!C416</f>
        <v>1</v>
      </c>
      <c r="F138" s="134" t="str">
        <f>Establishment!D422</f>
        <v>Security Officer</v>
      </c>
      <c r="G138" s="134"/>
      <c r="H138" s="134"/>
      <c r="I138" s="133" t="str">
        <f>Establishment!E422</f>
        <v>R39-32</v>
      </c>
      <c r="J138" s="133">
        <f>Establishment!C422</f>
        <v>1</v>
      </c>
    </row>
    <row r="139" spans="1:10" ht="12" customHeight="1" x14ac:dyDescent="0.2">
      <c r="A139" s="134" t="str">
        <f>Establishment!D417</f>
        <v>Assistant Secretary</v>
      </c>
      <c r="B139" s="134"/>
      <c r="C139" s="134"/>
      <c r="D139" s="486" t="str">
        <f>Establishment!E417</f>
        <v>R22-16</v>
      </c>
      <c r="E139" s="133">
        <f>Establishment!C417</f>
        <v>2</v>
      </c>
      <c r="F139" s="134" t="str">
        <f>Establishment!D423</f>
        <v>Clerical Officer</v>
      </c>
      <c r="G139" s="134"/>
      <c r="H139" s="134"/>
      <c r="I139" s="133" t="str">
        <f>Establishment!E423</f>
        <v>R46-34</v>
      </c>
      <c r="J139" s="133">
        <f>Establishment!C423</f>
        <v>5</v>
      </c>
    </row>
    <row r="140" spans="1:10" x14ac:dyDescent="0.2">
      <c r="A140" s="134" t="str">
        <f>Establishment!D418</f>
        <v>Executive Officer</v>
      </c>
      <c r="B140" s="134"/>
      <c r="C140" s="134"/>
      <c r="D140" s="133" t="str">
        <f>Establishment!E418</f>
        <v>R28-22</v>
      </c>
      <c r="E140" s="133">
        <f>Establishment!C418</f>
        <v>1</v>
      </c>
      <c r="F140" s="134"/>
      <c r="G140" s="134"/>
      <c r="H140" s="134"/>
      <c r="I140" s="133"/>
      <c r="J140" s="133"/>
    </row>
    <row r="141" spans="1:10" ht="10.5" customHeight="1" x14ac:dyDescent="0.2">
      <c r="A141" s="203" t="s">
        <v>303</v>
      </c>
      <c r="B141" s="203"/>
      <c r="C141" s="203"/>
      <c r="D141" s="203"/>
      <c r="E141" s="203"/>
      <c r="F141" s="203"/>
      <c r="G141" s="203"/>
      <c r="H141" s="203"/>
      <c r="I141" s="203"/>
      <c r="J141" s="204">
        <f>SUM(E135:E140,J135:J140)</f>
        <v>17</v>
      </c>
    </row>
    <row r="142" spans="1:10" ht="15" customHeight="1" x14ac:dyDescent="0.2">
      <c r="A142" s="129"/>
      <c r="B142" s="129"/>
      <c r="C142" s="129"/>
      <c r="D142" s="129"/>
      <c r="E142" s="129"/>
      <c r="F142" s="129"/>
      <c r="G142" s="129"/>
      <c r="H142" s="129"/>
      <c r="I142" s="129"/>
      <c r="J142" s="129"/>
    </row>
    <row r="143" spans="1:10" ht="13.15" customHeight="1" x14ac:dyDescent="0.2">
      <c r="A143" s="180" t="s">
        <v>304</v>
      </c>
      <c r="B143" s="180"/>
      <c r="C143" s="180"/>
      <c r="D143" s="180"/>
      <c r="E143" s="180"/>
      <c r="F143" s="180"/>
      <c r="G143" s="180"/>
      <c r="H143" s="180"/>
      <c r="I143" s="180"/>
      <c r="J143" s="180"/>
    </row>
    <row r="144" spans="1:10" x14ac:dyDescent="0.2">
      <c r="A144" s="181" t="s">
        <v>305</v>
      </c>
      <c r="B144" s="181"/>
      <c r="C144" s="181"/>
      <c r="D144" s="181"/>
      <c r="E144" s="181"/>
      <c r="F144" s="181"/>
      <c r="G144" s="181"/>
      <c r="H144" s="181"/>
      <c r="I144" s="181"/>
      <c r="J144" s="181"/>
    </row>
    <row r="145" spans="1:10" x14ac:dyDescent="0.2">
      <c r="A145" s="129" t="s">
        <v>1497</v>
      </c>
      <c r="B145" s="129"/>
      <c r="C145" s="129"/>
      <c r="D145" s="129"/>
      <c r="E145" s="129"/>
      <c r="F145" s="129"/>
      <c r="G145" s="129"/>
      <c r="H145" s="129"/>
      <c r="I145" s="129"/>
      <c r="J145" s="129"/>
    </row>
    <row r="146" spans="1:10" ht="24" customHeight="1" x14ac:dyDescent="0.2">
      <c r="A146" s="129" t="s">
        <v>1498</v>
      </c>
      <c r="B146" s="129"/>
      <c r="C146" s="129"/>
      <c r="D146" s="129"/>
      <c r="E146" s="129"/>
      <c r="F146" s="129"/>
      <c r="G146" s="129"/>
      <c r="H146" s="129"/>
      <c r="I146" s="129"/>
      <c r="J146" s="129"/>
    </row>
    <row r="147" spans="1:10" x14ac:dyDescent="0.2">
      <c r="A147" s="129" t="s">
        <v>1499</v>
      </c>
      <c r="B147" s="129"/>
      <c r="C147" s="129"/>
      <c r="D147" s="129"/>
      <c r="E147" s="129"/>
      <c r="F147" s="129"/>
      <c r="G147" s="129"/>
      <c r="H147" s="129"/>
      <c r="I147" s="129"/>
      <c r="J147" s="129"/>
    </row>
    <row r="148" spans="1:10" ht="24" customHeight="1" x14ac:dyDescent="0.2">
      <c r="A148" s="129" t="s">
        <v>1500</v>
      </c>
      <c r="B148" s="129"/>
      <c r="C148" s="129"/>
      <c r="D148" s="129"/>
      <c r="E148" s="129"/>
      <c r="F148" s="129"/>
      <c r="G148" s="129"/>
      <c r="H148" s="129"/>
      <c r="I148" s="129"/>
      <c r="J148" s="129"/>
    </row>
    <row r="149" spans="1:10" ht="23.25" customHeight="1" x14ac:dyDescent="0.2">
      <c r="A149" s="129" t="s">
        <v>1501</v>
      </c>
      <c r="B149" s="129"/>
      <c r="C149" s="129"/>
      <c r="D149" s="129"/>
      <c r="E149" s="129"/>
      <c r="F149" s="129"/>
      <c r="G149" s="129"/>
      <c r="H149" s="129"/>
      <c r="I149" s="129"/>
      <c r="J149" s="129"/>
    </row>
    <row r="150" spans="1:10" x14ac:dyDescent="0.2">
      <c r="A150" s="129" t="s">
        <v>1502</v>
      </c>
      <c r="B150" s="129"/>
      <c r="C150" s="129"/>
      <c r="D150" s="129"/>
      <c r="E150" s="129"/>
      <c r="F150" s="129"/>
      <c r="G150" s="129"/>
      <c r="H150" s="129"/>
      <c r="I150" s="129"/>
      <c r="J150" s="129"/>
    </row>
    <row r="151" spans="1:10" ht="23.25" customHeight="1" x14ac:dyDescent="0.2">
      <c r="A151" s="129" t="s">
        <v>1503</v>
      </c>
      <c r="B151" s="129"/>
      <c r="C151" s="129"/>
      <c r="D151" s="129"/>
      <c r="E151" s="129"/>
      <c r="F151" s="129"/>
      <c r="G151" s="129"/>
      <c r="H151" s="129"/>
      <c r="I151" s="129"/>
      <c r="J151" s="129"/>
    </row>
    <row r="152" spans="1:10" ht="27" customHeight="1" x14ac:dyDescent="0.2">
      <c r="A152" s="129" t="s">
        <v>1504</v>
      </c>
      <c r="B152" s="129"/>
      <c r="C152" s="129"/>
      <c r="D152" s="129"/>
      <c r="E152" s="129"/>
      <c r="F152" s="129"/>
      <c r="G152" s="129"/>
      <c r="H152" s="129"/>
      <c r="I152" s="129"/>
      <c r="J152" s="129"/>
    </row>
    <row r="153" spans="1:10" ht="12.6" customHeight="1" x14ac:dyDescent="0.2">
      <c r="A153" s="129"/>
      <c r="B153" s="129"/>
      <c r="C153" s="129"/>
      <c r="D153" s="129"/>
      <c r="E153" s="129"/>
      <c r="F153" s="129"/>
      <c r="G153" s="129"/>
      <c r="H153" s="129"/>
      <c r="I153" s="129"/>
      <c r="J153" s="129"/>
    </row>
    <row r="154" spans="1:10" x14ac:dyDescent="0.2">
      <c r="A154" s="183" t="s">
        <v>415</v>
      </c>
      <c r="B154" s="183"/>
      <c r="C154" s="183"/>
      <c r="D154" s="183"/>
      <c r="E154" s="183"/>
      <c r="F154" s="183"/>
      <c r="G154" s="183"/>
      <c r="H154" s="183"/>
      <c r="I154" s="183"/>
      <c r="J154" s="183"/>
    </row>
    <row r="155" spans="1:10" x14ac:dyDescent="0.2">
      <c r="A155" s="129"/>
      <c r="B155" s="129"/>
      <c r="C155" s="129"/>
      <c r="D155" s="129"/>
      <c r="E155" s="129"/>
      <c r="F155" s="129"/>
      <c r="G155" s="129"/>
      <c r="H155" s="129"/>
      <c r="I155" s="129"/>
      <c r="J155" s="129"/>
    </row>
    <row r="156" spans="1:10" x14ac:dyDescent="0.2">
      <c r="A156" s="129"/>
      <c r="B156" s="129"/>
      <c r="C156" s="129"/>
      <c r="D156" s="129"/>
      <c r="E156" s="129"/>
      <c r="F156" s="129"/>
      <c r="G156" s="129"/>
      <c r="H156" s="129"/>
      <c r="I156" s="129"/>
      <c r="J156" s="129"/>
    </row>
    <row r="157" spans="1:10" ht="22.5" x14ac:dyDescent="0.2">
      <c r="A157" s="180" t="s">
        <v>315</v>
      </c>
      <c r="B157" s="180"/>
      <c r="C157" s="180"/>
      <c r="D157" s="180"/>
      <c r="E157" s="180"/>
      <c r="F157" s="184" t="s">
        <v>2995</v>
      </c>
      <c r="G157" s="184" t="s">
        <v>2996</v>
      </c>
      <c r="H157" s="184" t="s">
        <v>2997</v>
      </c>
      <c r="I157" s="184" t="s">
        <v>2998</v>
      </c>
      <c r="J157" s="184" t="s">
        <v>2999</v>
      </c>
    </row>
    <row r="158" spans="1:10" x14ac:dyDescent="0.2">
      <c r="A158" s="180" t="s">
        <v>316</v>
      </c>
      <c r="B158" s="180"/>
      <c r="C158" s="180"/>
      <c r="D158" s="180"/>
      <c r="E158" s="180"/>
      <c r="F158" s="180"/>
      <c r="G158" s="180"/>
      <c r="H158" s="180"/>
      <c r="I158" s="180"/>
      <c r="J158" s="180"/>
    </row>
    <row r="159" spans="1:10" x14ac:dyDescent="0.2">
      <c r="A159" s="369" t="s">
        <v>1505</v>
      </c>
      <c r="B159" s="369"/>
      <c r="C159" s="369"/>
      <c r="D159" s="369"/>
      <c r="E159" s="369"/>
      <c r="F159" s="272">
        <v>25</v>
      </c>
      <c r="G159" s="191">
        <v>25</v>
      </c>
      <c r="H159" s="191">
        <v>20</v>
      </c>
      <c r="I159" s="191">
        <v>15</v>
      </c>
      <c r="J159" s="191">
        <v>15</v>
      </c>
    </row>
    <row r="160" spans="1:10" x14ac:dyDescent="0.2">
      <c r="A160" s="369" t="s">
        <v>1506</v>
      </c>
      <c r="B160" s="369"/>
      <c r="C160" s="369"/>
      <c r="D160" s="369"/>
      <c r="E160" s="369"/>
      <c r="F160" s="272" t="s">
        <v>884</v>
      </c>
      <c r="G160" s="191" t="s">
        <v>1043</v>
      </c>
      <c r="H160" s="191" t="s">
        <v>377</v>
      </c>
      <c r="I160" s="191" t="s">
        <v>377</v>
      </c>
      <c r="J160" s="191" t="s">
        <v>377</v>
      </c>
    </row>
    <row r="161" spans="1:10" x14ac:dyDescent="0.2">
      <c r="A161" s="369" t="s">
        <v>1507</v>
      </c>
      <c r="B161" s="369"/>
      <c r="C161" s="369"/>
      <c r="D161" s="369"/>
      <c r="E161" s="369"/>
      <c r="F161" s="272" t="s">
        <v>524</v>
      </c>
      <c r="G161" s="191" t="s">
        <v>683</v>
      </c>
      <c r="H161" s="191" t="s">
        <v>684</v>
      </c>
      <c r="I161" s="191" t="s">
        <v>684</v>
      </c>
      <c r="J161" s="191" t="s">
        <v>684</v>
      </c>
    </row>
    <row r="162" spans="1:10" x14ac:dyDescent="0.2">
      <c r="A162" s="369"/>
      <c r="B162" s="369"/>
      <c r="C162" s="369"/>
      <c r="D162" s="369"/>
      <c r="E162" s="369"/>
      <c r="F162" s="272"/>
      <c r="G162" s="191"/>
      <c r="H162" s="191"/>
      <c r="I162" s="191"/>
      <c r="J162" s="191"/>
    </row>
    <row r="163" spans="1:10" ht="22.5" customHeight="1" x14ac:dyDescent="0.2">
      <c r="A163" s="180" t="s">
        <v>324</v>
      </c>
      <c r="B163" s="180"/>
      <c r="C163" s="180"/>
      <c r="D163" s="180"/>
      <c r="E163" s="180"/>
      <c r="F163" s="180"/>
      <c r="G163" s="180"/>
      <c r="H163" s="180"/>
      <c r="I163" s="180"/>
      <c r="J163" s="180"/>
    </row>
    <row r="164" spans="1:10" x14ac:dyDescent="0.2">
      <c r="A164" s="369" t="s">
        <v>1508</v>
      </c>
      <c r="B164" s="369"/>
      <c r="C164" s="369"/>
      <c r="D164" s="369"/>
      <c r="E164" s="369"/>
      <c r="F164" s="272">
        <v>90</v>
      </c>
      <c r="G164" s="272">
        <v>90</v>
      </c>
      <c r="H164" s="272">
        <v>90</v>
      </c>
      <c r="I164" s="272">
        <v>90</v>
      </c>
      <c r="J164" s="272">
        <v>90</v>
      </c>
    </row>
    <row r="165" spans="1:10" x14ac:dyDescent="0.2">
      <c r="A165" s="369" t="s">
        <v>1509</v>
      </c>
      <c r="B165" s="369"/>
      <c r="C165" s="369"/>
      <c r="D165" s="369"/>
      <c r="E165" s="369"/>
      <c r="F165" s="371">
        <v>0.95</v>
      </c>
      <c r="G165" s="371">
        <v>0.95</v>
      </c>
      <c r="H165" s="371">
        <v>0.95</v>
      </c>
      <c r="I165" s="371">
        <v>0.95</v>
      </c>
      <c r="J165" s="371">
        <v>0.95</v>
      </c>
    </row>
    <row r="166" spans="1:10" x14ac:dyDescent="0.2">
      <c r="A166" s="369" t="s">
        <v>1510</v>
      </c>
      <c r="B166" s="369"/>
      <c r="C166" s="369"/>
      <c r="D166" s="369"/>
      <c r="E166" s="369"/>
      <c r="F166" s="371">
        <v>0.8</v>
      </c>
      <c r="G166" s="371">
        <v>0.8</v>
      </c>
      <c r="H166" s="371">
        <v>0.8</v>
      </c>
      <c r="I166" s="371">
        <v>0.8</v>
      </c>
      <c r="J166" s="371">
        <v>0.8</v>
      </c>
    </row>
    <row r="167" spans="1:10" x14ac:dyDescent="0.2">
      <c r="A167" s="369" t="s">
        <v>1511</v>
      </c>
      <c r="B167" s="369"/>
      <c r="C167" s="369"/>
      <c r="D167" s="369"/>
      <c r="E167" s="369"/>
      <c r="F167" s="272">
        <v>4</v>
      </c>
      <c r="G167" s="272">
        <v>4</v>
      </c>
      <c r="H167" s="272">
        <v>4</v>
      </c>
      <c r="I167" s="272">
        <v>4</v>
      </c>
      <c r="J167" s="272">
        <v>4</v>
      </c>
    </row>
    <row r="168" spans="1:10" ht="15" customHeight="1" x14ac:dyDescent="0.2">
      <c r="A168" s="129"/>
      <c r="B168" s="129"/>
      <c r="C168" s="129"/>
      <c r="D168" s="129"/>
      <c r="E168" s="129"/>
      <c r="F168" s="129"/>
      <c r="G168" s="129"/>
      <c r="H168" s="129"/>
      <c r="I168" s="129"/>
      <c r="J168" s="129"/>
    </row>
    <row r="169" spans="1:10" ht="15" customHeight="1" x14ac:dyDescent="0.2">
      <c r="A169" s="150" t="s">
        <v>1512</v>
      </c>
      <c r="B169" s="150"/>
      <c r="C169" s="150"/>
      <c r="D169" s="150"/>
      <c r="E169" s="150"/>
      <c r="F169" s="150"/>
      <c r="G169" s="150"/>
      <c r="H169" s="150"/>
      <c r="I169" s="150"/>
      <c r="J169" s="150"/>
    </row>
    <row r="170" spans="1:10" x14ac:dyDescent="0.2">
      <c r="A170" s="389" t="s">
        <v>291</v>
      </c>
      <c r="B170" s="389"/>
      <c r="C170" s="389"/>
      <c r="D170" s="389"/>
      <c r="E170" s="389"/>
      <c r="F170" s="389"/>
      <c r="G170" s="389"/>
      <c r="H170" s="389"/>
      <c r="I170" s="389"/>
      <c r="J170" s="389"/>
    </row>
    <row r="171" spans="1:10" x14ac:dyDescent="0.2">
      <c r="A171" s="205" t="s">
        <v>1513</v>
      </c>
      <c r="B171" s="205"/>
      <c r="C171" s="205"/>
      <c r="D171" s="205"/>
      <c r="E171" s="205"/>
      <c r="F171" s="205"/>
      <c r="G171" s="205"/>
      <c r="H171" s="205"/>
      <c r="I171" s="205"/>
      <c r="J171" s="205"/>
    </row>
    <row r="172" spans="1:10" x14ac:dyDescent="0.2">
      <c r="A172" s="128" t="s">
        <v>293</v>
      </c>
      <c r="B172" s="128"/>
      <c r="C172" s="128"/>
      <c r="D172" s="128"/>
      <c r="E172" s="128"/>
      <c r="F172" s="128"/>
      <c r="G172" s="128"/>
      <c r="H172" s="128"/>
      <c r="I172" s="128"/>
      <c r="J172" s="128"/>
    </row>
    <row r="173" spans="1:10" ht="33.75" x14ac:dyDescent="0.2">
      <c r="A173" s="152" t="s">
        <v>243</v>
      </c>
      <c r="B173" s="151" t="s">
        <v>242</v>
      </c>
      <c r="C173" s="151"/>
      <c r="D173" s="151"/>
      <c r="E173" s="132" t="str">
        <f t="shared" ref="E173:J173" si="34">E25</f>
        <v>Actuals           2014-2015</v>
      </c>
      <c r="F173" s="132" t="str">
        <f t="shared" si="34"/>
        <v>Approved Estimates          2015-2016</v>
      </c>
      <c r="G173" s="132" t="str">
        <f t="shared" si="34"/>
        <v>Revised Estimates                 2015-2016</v>
      </c>
      <c r="H173" s="132" t="str">
        <f t="shared" si="34"/>
        <v>Budget Estimates      2016-2017</v>
      </c>
      <c r="I173" s="132" t="str">
        <f t="shared" si="34"/>
        <v>Forward Estimates     2017-2018</v>
      </c>
      <c r="J173" s="132" t="str">
        <f t="shared" si="34"/>
        <v>Forward Estimates     2018-2019</v>
      </c>
    </row>
    <row r="174" spans="1:10" x14ac:dyDescent="0.2">
      <c r="A174" s="207">
        <v>160</v>
      </c>
      <c r="B174" s="129" t="s">
        <v>1514</v>
      </c>
      <c r="C174" s="129"/>
      <c r="D174" s="129"/>
      <c r="E174" s="211">
        <v>7378.3099999999995</v>
      </c>
      <c r="F174" s="211">
        <v>50000</v>
      </c>
      <c r="G174" s="211">
        <v>33500</v>
      </c>
      <c r="H174" s="210">
        <v>50000</v>
      </c>
      <c r="I174" s="211">
        <v>50000</v>
      </c>
      <c r="J174" s="211">
        <v>50000</v>
      </c>
    </row>
    <row r="175" spans="1:10" x14ac:dyDescent="0.2">
      <c r="A175" s="137" t="s">
        <v>1461</v>
      </c>
      <c r="B175" s="137"/>
      <c r="C175" s="137"/>
      <c r="D175" s="137"/>
      <c r="E175" s="138">
        <f t="shared" ref="E175:J175" si="35">SUM(E174:E174)</f>
        <v>7378.3099999999995</v>
      </c>
      <c r="F175" s="138">
        <f t="shared" si="35"/>
        <v>50000</v>
      </c>
      <c r="G175" s="138">
        <f t="shared" si="35"/>
        <v>33500</v>
      </c>
      <c r="H175" s="138">
        <f t="shared" si="35"/>
        <v>50000</v>
      </c>
      <c r="I175" s="138">
        <f t="shared" si="35"/>
        <v>50000</v>
      </c>
      <c r="J175" s="138">
        <f t="shared" si="35"/>
        <v>50000</v>
      </c>
    </row>
    <row r="176" spans="1:10" ht="15" customHeight="1" x14ac:dyDescent="0.2">
      <c r="A176" s="129"/>
      <c r="B176" s="129"/>
      <c r="C176" s="129"/>
      <c r="D176" s="129"/>
      <c r="E176" s="129"/>
      <c r="F176" s="129"/>
      <c r="G176" s="129"/>
      <c r="H176" s="129"/>
      <c r="I176" s="129"/>
      <c r="J176" s="129"/>
    </row>
    <row r="177" spans="1:10" ht="15" customHeight="1" x14ac:dyDescent="0.2">
      <c r="A177" s="314" t="s">
        <v>284</v>
      </c>
      <c r="B177" s="315"/>
      <c r="C177" s="315"/>
      <c r="D177" s="315"/>
      <c r="E177" s="315"/>
      <c r="F177" s="315"/>
      <c r="G177" s="315"/>
      <c r="H177" s="315"/>
      <c r="I177" s="315"/>
      <c r="J177" s="316"/>
    </row>
    <row r="178" spans="1:10" ht="33.75" x14ac:dyDescent="0.2">
      <c r="A178" s="152" t="s">
        <v>243</v>
      </c>
      <c r="B178" s="487" t="s">
        <v>242</v>
      </c>
      <c r="C178" s="488"/>
      <c r="D178" s="489"/>
      <c r="E178" s="132" t="str">
        <f t="shared" ref="E178:J178" si="36">E25</f>
        <v>Actuals           2014-2015</v>
      </c>
      <c r="F178" s="132" t="str">
        <f t="shared" si="36"/>
        <v>Approved Estimates          2015-2016</v>
      </c>
      <c r="G178" s="132" t="str">
        <f t="shared" si="36"/>
        <v>Revised Estimates                 2015-2016</v>
      </c>
      <c r="H178" s="132" t="str">
        <f t="shared" si="36"/>
        <v>Budget Estimates      2016-2017</v>
      </c>
      <c r="I178" s="132" t="str">
        <f t="shared" si="36"/>
        <v>Forward Estimates     2017-2018</v>
      </c>
      <c r="J178" s="132" t="str">
        <f t="shared" si="36"/>
        <v>Forward Estimates     2018-2019</v>
      </c>
    </row>
    <row r="179" spans="1:10" ht="15" customHeight="1" x14ac:dyDescent="0.2">
      <c r="A179" s="487" t="s">
        <v>7</v>
      </c>
      <c r="B179" s="488"/>
      <c r="C179" s="488"/>
      <c r="D179" s="488"/>
      <c r="E179" s="488"/>
      <c r="F179" s="488"/>
      <c r="G179" s="488"/>
      <c r="H179" s="488"/>
      <c r="I179" s="489"/>
      <c r="J179" s="190"/>
    </row>
    <row r="180" spans="1:10" ht="15" customHeight="1" x14ac:dyDescent="0.2">
      <c r="A180" s="207">
        <v>210</v>
      </c>
      <c r="B180" s="307" t="s">
        <v>7</v>
      </c>
      <c r="C180" s="308"/>
      <c r="D180" s="309"/>
      <c r="E180" s="211">
        <v>1709293.27</v>
      </c>
      <c r="F180" s="209">
        <v>1938700</v>
      </c>
      <c r="G180" s="211">
        <v>1903700</v>
      </c>
      <c r="H180" s="210">
        <v>2026100</v>
      </c>
      <c r="I180" s="211">
        <v>2099300</v>
      </c>
      <c r="J180" s="211">
        <v>2122100</v>
      </c>
    </row>
    <row r="181" spans="1:10" ht="15" customHeight="1" x14ac:dyDescent="0.2">
      <c r="A181" s="207">
        <v>212</v>
      </c>
      <c r="B181" s="307" t="s">
        <v>9</v>
      </c>
      <c r="C181" s="308"/>
      <c r="D181" s="309"/>
      <c r="E181" s="211">
        <v>0</v>
      </c>
      <c r="F181" s="209">
        <v>0</v>
      </c>
      <c r="G181" s="211">
        <v>0</v>
      </c>
      <c r="H181" s="210">
        <v>0</v>
      </c>
      <c r="I181" s="211">
        <v>0</v>
      </c>
      <c r="J181" s="211">
        <v>0</v>
      </c>
    </row>
    <row r="182" spans="1:10" ht="14.25" customHeight="1" x14ac:dyDescent="0.2">
      <c r="A182" s="207">
        <v>216</v>
      </c>
      <c r="B182" s="307" t="s">
        <v>10</v>
      </c>
      <c r="C182" s="308"/>
      <c r="D182" s="309"/>
      <c r="E182" s="211">
        <v>495289.09</v>
      </c>
      <c r="F182" s="209">
        <v>596900</v>
      </c>
      <c r="G182" s="211">
        <v>596900</v>
      </c>
      <c r="H182" s="210">
        <v>548800</v>
      </c>
      <c r="I182" s="211">
        <v>548800</v>
      </c>
      <c r="J182" s="211">
        <v>548800</v>
      </c>
    </row>
    <row r="183" spans="1:10" ht="14.25" customHeight="1" x14ac:dyDescent="0.2">
      <c r="A183" s="207">
        <v>218</v>
      </c>
      <c r="B183" s="307" t="s">
        <v>294</v>
      </c>
      <c r="C183" s="308"/>
      <c r="D183" s="309"/>
      <c r="E183" s="211">
        <v>40804.67</v>
      </c>
      <c r="F183" s="209">
        <v>53300</v>
      </c>
      <c r="G183" s="211">
        <v>53300</v>
      </c>
      <c r="H183" s="210">
        <v>32300</v>
      </c>
      <c r="I183" s="211">
        <v>23900</v>
      </c>
      <c r="J183" s="211">
        <v>32300</v>
      </c>
    </row>
    <row r="184" spans="1:10" ht="11.25" customHeight="1" x14ac:dyDescent="0.2">
      <c r="A184" s="156" t="s">
        <v>295</v>
      </c>
      <c r="B184" s="156"/>
      <c r="C184" s="156"/>
      <c r="D184" s="156"/>
      <c r="E184" s="157">
        <f t="shared" ref="E184:J184" si="37">SUM(E180:E183)</f>
        <v>2245387.0299999998</v>
      </c>
      <c r="F184" s="157">
        <f t="shared" si="37"/>
        <v>2588900</v>
      </c>
      <c r="G184" s="157">
        <f t="shared" si="37"/>
        <v>2553900</v>
      </c>
      <c r="H184" s="157">
        <f t="shared" si="37"/>
        <v>2607200</v>
      </c>
      <c r="I184" s="157">
        <f t="shared" si="37"/>
        <v>2672000</v>
      </c>
      <c r="J184" s="157">
        <f t="shared" si="37"/>
        <v>2703200</v>
      </c>
    </row>
    <row r="185" spans="1:10" ht="15" customHeight="1" x14ac:dyDescent="0.2">
      <c r="A185" s="156" t="s">
        <v>296</v>
      </c>
      <c r="B185" s="156"/>
      <c r="C185" s="156"/>
      <c r="D185" s="156"/>
      <c r="E185" s="156"/>
      <c r="F185" s="156"/>
      <c r="G185" s="156"/>
      <c r="H185" s="156"/>
      <c r="I185" s="156"/>
      <c r="J185" s="190"/>
    </row>
    <row r="186" spans="1:10" x14ac:dyDescent="0.2">
      <c r="A186" s="207">
        <v>232</v>
      </c>
      <c r="B186" s="129" t="s">
        <v>211</v>
      </c>
      <c r="C186" s="129"/>
      <c r="D186" s="129"/>
      <c r="E186" s="211">
        <v>2858539.77</v>
      </c>
      <c r="F186" s="209">
        <v>2819200</v>
      </c>
      <c r="G186" s="211">
        <v>2819200</v>
      </c>
      <c r="H186" s="210">
        <v>2819200</v>
      </c>
      <c r="I186" s="211">
        <v>2819200</v>
      </c>
      <c r="J186" s="211">
        <v>2819200</v>
      </c>
    </row>
    <row r="187" spans="1:10" x14ac:dyDescent="0.2">
      <c r="A187" s="207">
        <v>275</v>
      </c>
      <c r="B187" s="129" t="s">
        <v>228</v>
      </c>
      <c r="C187" s="129"/>
      <c r="D187" s="129"/>
      <c r="E187" s="211">
        <v>4985.1099999999997</v>
      </c>
      <c r="F187" s="209">
        <v>5000</v>
      </c>
      <c r="G187" s="211">
        <v>5000</v>
      </c>
      <c r="H187" s="210">
        <v>5000</v>
      </c>
      <c r="I187" s="211">
        <v>5000</v>
      </c>
      <c r="J187" s="211">
        <v>5000</v>
      </c>
    </row>
    <row r="188" spans="1:10" x14ac:dyDescent="0.2">
      <c r="A188" s="207">
        <v>278</v>
      </c>
      <c r="B188" s="129" t="s">
        <v>231</v>
      </c>
      <c r="C188" s="129"/>
      <c r="D188" s="129"/>
      <c r="E188" s="211">
        <v>0</v>
      </c>
      <c r="F188" s="209">
        <v>0</v>
      </c>
      <c r="G188" s="211">
        <v>0</v>
      </c>
      <c r="H188" s="210">
        <v>0</v>
      </c>
      <c r="I188" s="211">
        <v>0</v>
      </c>
      <c r="J188" s="211">
        <v>0</v>
      </c>
    </row>
    <row r="189" spans="1:10" ht="15" customHeight="1" x14ac:dyDescent="0.2">
      <c r="A189" s="156" t="s">
        <v>298</v>
      </c>
      <c r="B189" s="156"/>
      <c r="C189" s="156"/>
      <c r="D189" s="156"/>
      <c r="E189" s="157">
        <f t="shared" ref="E189:J189" si="38">SUM(E186:E188)</f>
        <v>2863524.88</v>
      </c>
      <c r="F189" s="264">
        <f t="shared" si="38"/>
        <v>2824200</v>
      </c>
      <c r="G189" s="157">
        <f t="shared" si="38"/>
        <v>2824200</v>
      </c>
      <c r="H189" s="157">
        <f t="shared" si="38"/>
        <v>2824200</v>
      </c>
      <c r="I189" s="157">
        <f t="shared" si="38"/>
        <v>2824200</v>
      </c>
      <c r="J189" s="157">
        <f t="shared" si="38"/>
        <v>2824200</v>
      </c>
    </row>
    <row r="190" spans="1:10" x14ac:dyDescent="0.2">
      <c r="A190" s="159" t="s">
        <v>299</v>
      </c>
      <c r="B190" s="159"/>
      <c r="C190" s="159"/>
      <c r="D190" s="159"/>
      <c r="E190" s="160">
        <f t="shared" ref="E190:J190" si="39">SUM(E184,E189)</f>
        <v>5108911.91</v>
      </c>
      <c r="F190" s="160">
        <f t="shared" si="39"/>
        <v>5413100</v>
      </c>
      <c r="G190" s="160">
        <f t="shared" si="39"/>
        <v>5378100</v>
      </c>
      <c r="H190" s="160">
        <f t="shared" si="39"/>
        <v>5431400</v>
      </c>
      <c r="I190" s="160">
        <f t="shared" si="39"/>
        <v>5496200</v>
      </c>
      <c r="J190" s="160">
        <f t="shared" si="39"/>
        <v>5527400</v>
      </c>
    </row>
    <row r="191" spans="1:10" ht="11.25" customHeight="1" x14ac:dyDescent="0.2">
      <c r="A191" s="129"/>
      <c r="B191" s="129"/>
      <c r="C191" s="129"/>
      <c r="D191" s="129"/>
      <c r="E191" s="129"/>
      <c r="F191" s="129"/>
      <c r="G191" s="129"/>
      <c r="H191" s="129"/>
      <c r="I191" s="129"/>
      <c r="J191" s="190"/>
    </row>
    <row r="192" spans="1:10" x14ac:dyDescent="0.2">
      <c r="A192" s="162" t="s">
        <v>15</v>
      </c>
      <c r="B192" s="162"/>
      <c r="C192" s="162"/>
      <c r="D192" s="162"/>
      <c r="E192" s="162"/>
      <c r="F192" s="162"/>
      <c r="G192" s="162"/>
      <c r="H192" s="162"/>
      <c r="I192" s="162"/>
      <c r="J192" s="162"/>
    </row>
    <row r="193" spans="1:10" ht="18" customHeight="1" x14ac:dyDescent="0.2">
      <c r="A193" s="131" t="s">
        <v>242</v>
      </c>
      <c r="B193" s="131"/>
      <c r="C193" s="131"/>
      <c r="D193" s="131"/>
      <c r="E193" s="128" t="str">
        <f t="shared" ref="E193:J193" si="40">E25</f>
        <v>Actuals           2014-2015</v>
      </c>
      <c r="F193" s="128" t="str">
        <f t="shared" si="40"/>
        <v>Approved Estimates          2015-2016</v>
      </c>
      <c r="G193" s="128" t="str">
        <f t="shared" si="40"/>
        <v>Revised Estimates                 2015-2016</v>
      </c>
      <c r="H193" s="128" t="str">
        <f t="shared" si="40"/>
        <v>Budget Estimates      2016-2017</v>
      </c>
      <c r="I193" s="128" t="str">
        <f t="shared" si="40"/>
        <v>Forward Estimates     2017-2018</v>
      </c>
      <c r="J193" s="128" t="str">
        <f t="shared" si="40"/>
        <v>Forward Estimates     2018-2019</v>
      </c>
    </row>
    <row r="194" spans="1:10" x14ac:dyDescent="0.2">
      <c r="A194" s="130" t="s">
        <v>243</v>
      </c>
      <c r="B194" s="130" t="s">
        <v>244</v>
      </c>
      <c r="C194" s="131" t="s">
        <v>245</v>
      </c>
      <c r="D194" s="131"/>
      <c r="E194" s="101"/>
      <c r="F194" s="101"/>
      <c r="G194" s="101"/>
      <c r="H194" s="101"/>
      <c r="I194" s="101"/>
      <c r="J194" s="101"/>
    </row>
    <row r="195" spans="1:10" x14ac:dyDescent="0.2">
      <c r="A195" s="163"/>
      <c r="B195" s="163"/>
      <c r="C195" s="156"/>
      <c r="D195" s="156"/>
      <c r="E195" s="158"/>
      <c r="F195" s="209"/>
      <c r="G195" s="158"/>
      <c r="H195" s="136"/>
      <c r="I195" s="158"/>
      <c r="J195" s="135"/>
    </row>
    <row r="196" spans="1:10" ht="15" customHeight="1" x14ac:dyDescent="0.2">
      <c r="A196" s="163"/>
      <c r="B196" s="163"/>
      <c r="C196" s="156"/>
      <c r="D196" s="156"/>
      <c r="E196" s="158"/>
      <c r="F196" s="209"/>
      <c r="G196" s="158"/>
      <c r="H196" s="136"/>
      <c r="I196" s="158"/>
      <c r="J196" s="135"/>
    </row>
    <row r="197" spans="1:10" ht="10.5" customHeight="1" x14ac:dyDescent="0.2">
      <c r="A197" s="137" t="s">
        <v>15</v>
      </c>
      <c r="B197" s="137"/>
      <c r="C197" s="137"/>
      <c r="D197" s="137"/>
      <c r="E197" s="138">
        <v>0</v>
      </c>
      <c r="F197" s="138">
        <v>0</v>
      </c>
      <c r="G197" s="138">
        <v>0</v>
      </c>
      <c r="H197" s="138">
        <v>0</v>
      </c>
      <c r="I197" s="138">
        <v>0</v>
      </c>
      <c r="J197" s="138">
        <v>0</v>
      </c>
    </row>
    <row r="198" spans="1:10" ht="12.75" customHeight="1" x14ac:dyDescent="0.2">
      <c r="A198" s="290"/>
      <c r="B198" s="290"/>
      <c r="C198" s="290"/>
      <c r="D198" s="290"/>
      <c r="E198" s="290"/>
      <c r="F198" s="290"/>
      <c r="G198" s="290"/>
      <c r="H198" s="290"/>
      <c r="I198" s="290"/>
      <c r="J198" s="290"/>
    </row>
    <row r="199" spans="1:10" x14ac:dyDescent="0.2">
      <c r="A199" s="161" t="s">
        <v>288</v>
      </c>
      <c r="B199" s="161"/>
      <c r="C199" s="161"/>
      <c r="D199" s="161"/>
      <c r="E199" s="161"/>
      <c r="F199" s="161"/>
      <c r="G199" s="161"/>
      <c r="H199" s="161"/>
      <c r="I199" s="161"/>
      <c r="J199" s="161"/>
    </row>
    <row r="200" spans="1:10" x14ac:dyDescent="0.2">
      <c r="A200" s="131" t="s">
        <v>300</v>
      </c>
      <c r="B200" s="131"/>
      <c r="C200" s="131"/>
      <c r="D200" s="132" t="s">
        <v>301</v>
      </c>
      <c r="E200" s="132" t="s">
        <v>302</v>
      </c>
      <c r="F200" s="131" t="s">
        <v>300</v>
      </c>
      <c r="G200" s="131"/>
      <c r="H200" s="131"/>
      <c r="I200" s="132" t="s">
        <v>301</v>
      </c>
      <c r="J200" s="132" t="s">
        <v>302</v>
      </c>
    </row>
    <row r="201" spans="1:10" ht="12.75" customHeight="1" x14ac:dyDescent="0.2">
      <c r="A201" s="134" t="str">
        <f>Establishment!D427</f>
        <v>Director of Public Works</v>
      </c>
      <c r="B201" s="134"/>
      <c r="C201" s="134"/>
      <c r="D201" s="133" t="str">
        <f>Establishment!E427</f>
        <v>R7</v>
      </c>
      <c r="E201" s="133">
        <f>Establishment!C427</f>
        <v>1</v>
      </c>
      <c r="F201" s="134" t="str">
        <f>Establishment!D440</f>
        <v>Engineering Technician</v>
      </c>
      <c r="G201" s="134"/>
      <c r="H201" s="134"/>
      <c r="I201" s="133" t="str">
        <f>Establishment!E440</f>
        <v>R22-18</v>
      </c>
      <c r="J201" s="133">
        <f>Establishment!C440</f>
        <v>1</v>
      </c>
    </row>
    <row r="202" spans="1:10" ht="12.75" customHeight="1" x14ac:dyDescent="0.2">
      <c r="A202" s="134" t="str">
        <f>Establishment!D428</f>
        <v>Civil Engineer</v>
      </c>
      <c r="B202" s="134"/>
      <c r="C202" s="134"/>
      <c r="D202" s="133" t="str">
        <f>Establishment!E428</f>
        <v>R9</v>
      </c>
      <c r="E202" s="133">
        <f>Establishment!C428</f>
        <v>1</v>
      </c>
      <c r="F202" s="134" t="str">
        <f>Establishment!D441</f>
        <v>Group Foreman</v>
      </c>
      <c r="G202" s="134"/>
      <c r="H202" s="134"/>
      <c r="I202" s="133" t="str">
        <f>Establishment!E441</f>
        <v>R22-18</v>
      </c>
      <c r="J202" s="133">
        <f>Establishment!C441</f>
        <v>1</v>
      </c>
    </row>
    <row r="203" spans="1:10" ht="12.75" customHeight="1" x14ac:dyDescent="0.2">
      <c r="A203" s="134" t="str">
        <f>Establishment!D429</f>
        <v>Government Architect</v>
      </c>
      <c r="B203" s="134"/>
      <c r="C203" s="134"/>
      <c r="D203" s="133" t="str">
        <f>Establishment!E429</f>
        <v>R9</v>
      </c>
      <c r="E203" s="133">
        <f>Establishment!C429</f>
        <v>1</v>
      </c>
      <c r="F203" s="134" t="str">
        <f>Establishment!D442</f>
        <v>Electrician(Snr)</v>
      </c>
      <c r="G203" s="134"/>
      <c r="H203" s="134"/>
      <c r="I203" s="133" t="str">
        <f>Establishment!E442</f>
        <v>R22-18</v>
      </c>
      <c r="J203" s="133">
        <f>Establishment!C442</f>
        <v>1</v>
      </c>
    </row>
    <row r="204" spans="1:10" ht="12.75" customHeight="1" x14ac:dyDescent="0.2">
      <c r="A204" s="134" t="str">
        <f>Establishment!D430</f>
        <v>PWD Architect</v>
      </c>
      <c r="B204" s="134"/>
      <c r="C204" s="134"/>
      <c r="D204" s="133" t="str">
        <f>Establishment!E430</f>
        <v>R10</v>
      </c>
      <c r="E204" s="133">
        <f>Establishment!C430</f>
        <v>1</v>
      </c>
      <c r="F204" s="134" t="str">
        <f>Establishment!D443</f>
        <v>Electrician</v>
      </c>
      <c r="G204" s="134"/>
      <c r="H204" s="134"/>
      <c r="I204" s="133" t="str">
        <f>Establishment!E443</f>
        <v>R28-22</v>
      </c>
      <c r="J204" s="133">
        <f>Establishment!C443</f>
        <v>1</v>
      </c>
    </row>
    <row r="205" spans="1:10" ht="12.75" customHeight="1" x14ac:dyDescent="0.2">
      <c r="A205" s="134" t="str">
        <f>Establishment!D431</f>
        <v>Architect</v>
      </c>
      <c r="B205" s="134"/>
      <c r="C205" s="134"/>
      <c r="D205" s="133" t="str">
        <f>Establishment!E431</f>
        <v>R17-13</v>
      </c>
      <c r="E205" s="133">
        <f>Establishment!C431</f>
        <v>1</v>
      </c>
      <c r="F205" s="134" t="str">
        <f>Establishment!D444</f>
        <v>Foreman (Snr)</v>
      </c>
      <c r="G205" s="134"/>
      <c r="H205" s="134"/>
      <c r="I205" s="133" t="str">
        <f>Establishment!E444</f>
        <v>R28-22</v>
      </c>
      <c r="J205" s="133">
        <f>Establishment!C444</f>
        <v>3</v>
      </c>
    </row>
    <row r="206" spans="1:10" ht="12.75" customHeight="1" x14ac:dyDescent="0.2">
      <c r="A206" s="134" t="str">
        <f>Establishment!D432</f>
        <v>Structural Engineer</v>
      </c>
      <c r="B206" s="134"/>
      <c r="C206" s="134"/>
      <c r="D206" s="133" t="str">
        <f>Establishment!E432</f>
        <v>R10</v>
      </c>
      <c r="E206" s="133">
        <f>Establishment!C432</f>
        <v>1</v>
      </c>
      <c r="F206" s="134" t="str">
        <f>Establishment!D445</f>
        <v>Charge Hand II</v>
      </c>
      <c r="G206" s="134"/>
      <c r="H206" s="134"/>
      <c r="I206" s="133" t="str">
        <f>Establishment!E445</f>
        <v>R30-28</v>
      </c>
      <c r="J206" s="133">
        <f>Establishment!C445</f>
        <v>2</v>
      </c>
    </row>
    <row r="207" spans="1:10" ht="12.75" customHeight="1" x14ac:dyDescent="0.2">
      <c r="A207" s="134" t="str">
        <f>Establishment!D433</f>
        <v>Quantity Surveyor</v>
      </c>
      <c r="B207" s="134"/>
      <c r="C207" s="134"/>
      <c r="D207" s="133" t="str">
        <f>Establishment!E433</f>
        <v>R10</v>
      </c>
      <c r="E207" s="133">
        <f>Establishment!C433</f>
        <v>1</v>
      </c>
      <c r="F207" s="134" t="str">
        <f>Establishment!D446</f>
        <v>Charge Hand I</v>
      </c>
      <c r="G207" s="134"/>
      <c r="H207" s="134"/>
      <c r="I207" s="133" t="str">
        <f>Establishment!E446</f>
        <v>R33-30</v>
      </c>
      <c r="J207" s="133">
        <f>Establishment!C446</f>
        <v>5</v>
      </c>
    </row>
    <row r="208" spans="1:10" ht="12.75" customHeight="1" x14ac:dyDescent="0.2">
      <c r="A208" s="134" t="str">
        <f>Establishment!D434</f>
        <v>Assistant Quantity Surveyor</v>
      </c>
      <c r="B208" s="134"/>
      <c r="C208" s="134"/>
      <c r="D208" s="133" t="str">
        <f>Establishment!E434</f>
        <v>R22-16/17-13</v>
      </c>
      <c r="E208" s="133">
        <f>Establishment!C434</f>
        <v>1</v>
      </c>
      <c r="F208" s="134" t="str">
        <f>Establishment!D447</f>
        <v>Lab Assistant</v>
      </c>
      <c r="G208" s="134"/>
      <c r="H208" s="134"/>
      <c r="I208" s="133" t="str">
        <f>Establishment!E447</f>
        <v>R33-29</v>
      </c>
      <c r="J208" s="133">
        <f>Establishment!C447</f>
        <v>1</v>
      </c>
    </row>
    <row r="209" spans="1:10" ht="12.75" customHeight="1" x14ac:dyDescent="0.2">
      <c r="A209" s="134" t="str">
        <f>Establishment!D435</f>
        <v>Assistant Civil Engineer</v>
      </c>
      <c r="B209" s="134"/>
      <c r="C209" s="134"/>
      <c r="D209" s="133" t="str">
        <f>Establishment!E435</f>
        <v>R17-13</v>
      </c>
      <c r="E209" s="133">
        <f>Establishment!C435</f>
        <v>2</v>
      </c>
      <c r="F209" s="134" t="str">
        <f>Establishment!D448</f>
        <v>Lab Technician</v>
      </c>
      <c r="G209" s="134"/>
      <c r="H209" s="134"/>
      <c r="I209" s="133" t="str">
        <f>Establishment!E448</f>
        <v>R28-22</v>
      </c>
      <c r="J209" s="133">
        <f>Establishment!C448</f>
        <v>1</v>
      </c>
    </row>
    <row r="210" spans="1:10" ht="12.75" customHeight="1" x14ac:dyDescent="0.2">
      <c r="A210" s="134" t="str">
        <f>Establishment!D436</f>
        <v>Clerk of Works</v>
      </c>
      <c r="B210" s="134"/>
      <c r="C210" s="134"/>
      <c r="D210" s="133" t="str">
        <f>Establishment!E436</f>
        <v>R22-16/17-13</v>
      </c>
      <c r="E210" s="133">
        <f>Establishment!C436</f>
        <v>2</v>
      </c>
      <c r="F210" s="134" t="str">
        <f>Establishment!D449</f>
        <v>Security Officer</v>
      </c>
      <c r="G210" s="134"/>
      <c r="H210" s="134"/>
      <c r="I210" s="133" t="str">
        <f>Establishment!E449</f>
        <v>R36-32</v>
      </c>
      <c r="J210" s="133">
        <f>Establishment!C449</f>
        <v>3</v>
      </c>
    </row>
    <row r="211" spans="1:10" ht="12.75" customHeight="1" x14ac:dyDescent="0.2">
      <c r="A211" s="134" t="str">
        <f>Establishment!D437</f>
        <v>Assistant Clerk of Works</v>
      </c>
      <c r="B211" s="134"/>
      <c r="C211" s="134"/>
      <c r="D211" s="133" t="str">
        <f>Establishment!E437</f>
        <v>R46-34/33-29</v>
      </c>
      <c r="E211" s="133">
        <f>Establishment!C437</f>
        <v>0</v>
      </c>
      <c r="F211" s="134" t="str">
        <f>Establishment!D450</f>
        <v>Assistant Engineering Technician</v>
      </c>
      <c r="G211" s="134"/>
      <c r="H211" s="134"/>
      <c r="I211" s="133" t="str">
        <f>Establishment!E450</f>
        <v>R38-36</v>
      </c>
      <c r="J211" s="133">
        <f>Establishment!C450</f>
        <v>2</v>
      </c>
    </row>
    <row r="212" spans="1:10" ht="12.75" customHeight="1" x14ac:dyDescent="0.2">
      <c r="A212" s="134" t="str">
        <f>Establishment!D438</f>
        <v>Head of Laboratory</v>
      </c>
      <c r="B212" s="134"/>
      <c r="C212" s="134"/>
      <c r="D212" s="133" t="str">
        <f>Establishment!E438</f>
        <v>R22-16/17-13</v>
      </c>
      <c r="E212" s="133">
        <f>Establishment!C438</f>
        <v>1</v>
      </c>
      <c r="F212" s="134" t="str">
        <f>Establishment!D451</f>
        <v>Skilled Labourer</v>
      </c>
      <c r="G212" s="134"/>
      <c r="H212" s="134"/>
      <c r="I212" s="133" t="str">
        <f>Establishment!E451</f>
        <v>R38-34</v>
      </c>
      <c r="J212" s="133">
        <f>Establishment!C451</f>
        <v>2</v>
      </c>
    </row>
    <row r="213" spans="1:10" ht="12.75" customHeight="1" x14ac:dyDescent="0.2">
      <c r="A213" s="134" t="str">
        <f>Establishment!D439</f>
        <v>CAD Operator</v>
      </c>
      <c r="B213" s="134"/>
      <c r="C213" s="134"/>
      <c r="D213" s="133" t="str">
        <f>Establishment!E439</f>
        <v>R22-16</v>
      </c>
      <c r="E213" s="133">
        <f>Establishment!C439</f>
        <v>1</v>
      </c>
      <c r="F213" s="134" t="str">
        <f>Establishment!D452</f>
        <v>Semi-Skilled Labourer</v>
      </c>
      <c r="G213" s="134"/>
      <c r="H213" s="134"/>
      <c r="I213" s="133" t="str">
        <f>Establishment!E452</f>
        <v>R42-36</v>
      </c>
      <c r="J213" s="133">
        <f>Establishment!C452</f>
        <v>9</v>
      </c>
    </row>
    <row r="214" spans="1:10" x14ac:dyDescent="0.2">
      <c r="A214" s="203" t="s">
        <v>303</v>
      </c>
      <c r="B214" s="203"/>
      <c r="C214" s="203"/>
      <c r="D214" s="203"/>
      <c r="E214" s="203"/>
      <c r="F214" s="203"/>
      <c r="G214" s="203"/>
      <c r="H214" s="203"/>
      <c r="I214" s="203"/>
      <c r="J214" s="204">
        <f>SUM(E201:E213,J201:J213)</f>
        <v>46</v>
      </c>
    </row>
    <row r="215" spans="1:10" ht="15" customHeight="1" x14ac:dyDescent="0.2">
      <c r="A215" s="129"/>
      <c r="B215" s="129"/>
      <c r="C215" s="129"/>
      <c r="D215" s="129"/>
      <c r="E215" s="129"/>
      <c r="F215" s="129"/>
      <c r="G215" s="129"/>
      <c r="H215" s="129"/>
      <c r="I215" s="129"/>
      <c r="J215" s="129"/>
    </row>
    <row r="216" spans="1:10" ht="15" customHeight="1" x14ac:dyDescent="0.2">
      <c r="A216" s="180" t="s">
        <v>304</v>
      </c>
      <c r="B216" s="180"/>
      <c r="C216" s="180"/>
      <c r="D216" s="180"/>
      <c r="E216" s="180"/>
      <c r="F216" s="180"/>
      <c r="G216" s="180"/>
      <c r="H216" s="180"/>
      <c r="I216" s="180"/>
      <c r="J216" s="180"/>
    </row>
    <row r="217" spans="1:10" x14ac:dyDescent="0.2">
      <c r="A217" s="181" t="s">
        <v>305</v>
      </c>
      <c r="B217" s="181"/>
      <c r="C217" s="181"/>
      <c r="D217" s="181"/>
      <c r="E217" s="181"/>
      <c r="F217" s="181"/>
      <c r="G217" s="181"/>
      <c r="H217" s="181"/>
      <c r="I217" s="181"/>
      <c r="J217" s="181"/>
    </row>
    <row r="218" spans="1:10" ht="25.5" customHeight="1" x14ac:dyDescent="0.2">
      <c r="A218" s="129" t="s">
        <v>1515</v>
      </c>
      <c r="B218" s="129"/>
      <c r="C218" s="129"/>
      <c r="D218" s="129"/>
      <c r="E218" s="129"/>
      <c r="F218" s="129"/>
      <c r="G218" s="129"/>
      <c r="H218" s="129"/>
      <c r="I218" s="129"/>
      <c r="J218" s="129"/>
    </row>
    <row r="219" spans="1:10" ht="15" customHeight="1" x14ac:dyDescent="0.2">
      <c r="A219" s="129" t="s">
        <v>1516</v>
      </c>
      <c r="B219" s="129"/>
      <c r="C219" s="129"/>
      <c r="D219" s="129"/>
      <c r="E219" s="129"/>
      <c r="F219" s="129"/>
      <c r="G219" s="129"/>
      <c r="H219" s="129"/>
      <c r="I219" s="129"/>
      <c r="J219" s="129"/>
    </row>
    <row r="220" spans="1:10" ht="24.75" customHeight="1" x14ac:dyDescent="0.2">
      <c r="A220" s="129" t="s">
        <v>1517</v>
      </c>
      <c r="B220" s="129"/>
      <c r="C220" s="129"/>
      <c r="D220" s="129"/>
      <c r="E220" s="129"/>
      <c r="F220" s="129"/>
      <c r="G220" s="129"/>
      <c r="H220" s="129"/>
      <c r="I220" s="129"/>
      <c r="J220" s="129"/>
    </row>
    <row r="221" spans="1:10" ht="15" customHeight="1" x14ac:dyDescent="0.2">
      <c r="A221" s="129" t="s">
        <v>1518</v>
      </c>
      <c r="B221" s="129"/>
      <c r="C221" s="129"/>
      <c r="D221" s="129"/>
      <c r="E221" s="129"/>
      <c r="F221" s="129"/>
      <c r="G221" s="129"/>
      <c r="H221" s="129"/>
      <c r="I221" s="129"/>
      <c r="J221" s="129"/>
    </row>
    <row r="222" spans="1:10" s="367" customFormat="1" ht="15" customHeight="1" x14ac:dyDescent="0.2">
      <c r="A222" s="129"/>
      <c r="B222" s="129"/>
      <c r="C222" s="129"/>
      <c r="D222" s="129"/>
      <c r="E222" s="129"/>
      <c r="F222" s="129"/>
      <c r="G222" s="129"/>
      <c r="H222" s="129"/>
      <c r="I222" s="129"/>
      <c r="J222" s="129"/>
    </row>
    <row r="223" spans="1:10" x14ac:dyDescent="0.2">
      <c r="A223" s="183" t="s">
        <v>415</v>
      </c>
      <c r="B223" s="183"/>
      <c r="C223" s="183"/>
      <c r="D223" s="183"/>
      <c r="E223" s="183"/>
      <c r="F223" s="183"/>
      <c r="G223" s="183"/>
      <c r="H223" s="183"/>
      <c r="I223" s="183"/>
      <c r="J223" s="183"/>
    </row>
    <row r="224" spans="1:10" x14ac:dyDescent="0.2">
      <c r="A224" s="129"/>
      <c r="B224" s="129"/>
      <c r="C224" s="129"/>
      <c r="D224" s="129"/>
      <c r="E224" s="129"/>
      <c r="F224" s="129"/>
      <c r="G224" s="129"/>
      <c r="H224" s="129"/>
      <c r="I224" s="129"/>
      <c r="J224" s="129"/>
    </row>
    <row r="225" spans="1:10" x14ac:dyDescent="0.2">
      <c r="A225" s="129"/>
      <c r="B225" s="129"/>
      <c r="C225" s="129"/>
      <c r="D225" s="129"/>
      <c r="E225" s="129"/>
      <c r="F225" s="129"/>
      <c r="G225" s="129"/>
      <c r="H225" s="129"/>
      <c r="I225" s="129"/>
      <c r="J225" s="129"/>
    </row>
    <row r="226" spans="1:10" x14ac:dyDescent="0.2">
      <c r="A226" s="129"/>
      <c r="B226" s="129"/>
      <c r="C226" s="129"/>
      <c r="D226" s="129"/>
      <c r="E226" s="129"/>
      <c r="F226" s="129"/>
      <c r="G226" s="129"/>
      <c r="H226" s="129"/>
      <c r="I226" s="129"/>
      <c r="J226" s="129"/>
    </row>
    <row r="227" spans="1:10" ht="22.5" x14ac:dyDescent="0.2">
      <c r="A227" s="180" t="s">
        <v>315</v>
      </c>
      <c r="B227" s="180"/>
      <c r="C227" s="180"/>
      <c r="D227" s="180"/>
      <c r="E227" s="180"/>
      <c r="F227" s="184" t="str">
        <f>F157</f>
        <v xml:space="preserve"> Actual 2014-2015</v>
      </c>
      <c r="G227" s="184" t="str">
        <f>G157</f>
        <v xml:space="preserve"> Estimate 2015-2016</v>
      </c>
      <c r="H227" s="184" t="str">
        <f>H157</f>
        <v xml:space="preserve"> Target 2016-2017</v>
      </c>
      <c r="I227" s="184" t="str">
        <f>I157</f>
        <v xml:space="preserve"> Target 2017-2018</v>
      </c>
      <c r="J227" s="184" t="str">
        <f>J157</f>
        <v xml:space="preserve"> Target 2018-2019</v>
      </c>
    </row>
    <row r="228" spans="1:10" x14ac:dyDescent="0.2">
      <c r="A228" s="180" t="s">
        <v>316</v>
      </c>
      <c r="B228" s="180"/>
      <c r="C228" s="180"/>
      <c r="D228" s="180"/>
      <c r="E228" s="180"/>
      <c r="F228" s="180"/>
      <c r="G228" s="180"/>
      <c r="H228" s="180"/>
      <c r="I228" s="180"/>
      <c r="J228" s="180"/>
    </row>
    <row r="229" spans="1:10" ht="24.75" customHeight="1" x14ac:dyDescent="0.2">
      <c r="A229" s="372" t="s">
        <v>1519</v>
      </c>
      <c r="B229" s="372"/>
      <c r="C229" s="372"/>
      <c r="D229" s="372"/>
      <c r="E229" s="372"/>
      <c r="F229" s="272">
        <v>2</v>
      </c>
      <c r="G229" s="272">
        <v>4</v>
      </c>
      <c r="H229" s="272">
        <v>3</v>
      </c>
      <c r="I229" s="272">
        <v>3</v>
      </c>
      <c r="J229" s="272" t="s">
        <v>539</v>
      </c>
    </row>
    <row r="230" spans="1:10" x14ac:dyDescent="0.2">
      <c r="A230" s="372" t="s">
        <v>1520</v>
      </c>
      <c r="B230" s="372"/>
      <c r="C230" s="372"/>
      <c r="D230" s="372"/>
      <c r="E230" s="372"/>
      <c r="F230" s="272">
        <v>10</v>
      </c>
      <c r="G230" s="272">
        <v>12</v>
      </c>
      <c r="H230" s="272">
        <v>15</v>
      </c>
      <c r="I230" s="272">
        <v>16</v>
      </c>
      <c r="J230" s="272">
        <v>20</v>
      </c>
    </row>
    <row r="231" spans="1:10" x14ac:dyDescent="0.2">
      <c r="A231" s="372" t="s">
        <v>1521</v>
      </c>
      <c r="B231" s="372"/>
      <c r="C231" s="372"/>
      <c r="D231" s="372"/>
      <c r="E231" s="372"/>
      <c r="F231" s="272">
        <v>8</v>
      </c>
      <c r="G231" s="272">
        <v>10</v>
      </c>
      <c r="H231" s="272">
        <v>14</v>
      </c>
      <c r="I231" s="272">
        <v>21</v>
      </c>
      <c r="J231" s="272">
        <v>12</v>
      </c>
    </row>
    <row r="232" spans="1:10" x14ac:dyDescent="0.2">
      <c r="A232" s="372" t="s">
        <v>1522</v>
      </c>
      <c r="B232" s="372"/>
      <c r="C232" s="372"/>
      <c r="D232" s="372"/>
      <c r="E232" s="372"/>
      <c r="F232" s="272">
        <v>4</v>
      </c>
      <c r="G232" s="272" t="s">
        <v>1043</v>
      </c>
      <c r="H232" s="272" t="s">
        <v>377</v>
      </c>
      <c r="I232" s="272" t="s">
        <v>377</v>
      </c>
      <c r="J232" s="272">
        <v>5</v>
      </c>
    </row>
    <row r="233" spans="1:10" x14ac:dyDescent="0.2">
      <c r="A233" s="369"/>
      <c r="B233" s="369"/>
      <c r="C233" s="369"/>
      <c r="D233" s="369"/>
      <c r="E233" s="369"/>
      <c r="F233" s="272"/>
      <c r="G233" s="272"/>
      <c r="H233" s="272"/>
      <c r="I233" s="272"/>
      <c r="J233" s="272"/>
    </row>
    <row r="234" spans="1:10" ht="23.25" customHeight="1" x14ac:dyDescent="0.2">
      <c r="A234" s="180" t="s">
        <v>324</v>
      </c>
      <c r="B234" s="180"/>
      <c r="C234" s="180"/>
      <c r="D234" s="180"/>
      <c r="E234" s="180"/>
      <c r="F234" s="180"/>
      <c r="G234" s="180"/>
      <c r="H234" s="180"/>
      <c r="I234" s="180"/>
      <c r="J234" s="180"/>
    </row>
    <row r="235" spans="1:10" x14ac:dyDescent="0.2">
      <c r="A235" s="369" t="s">
        <v>1523</v>
      </c>
      <c r="B235" s="369"/>
      <c r="C235" s="369"/>
      <c r="D235" s="369"/>
      <c r="E235" s="369"/>
      <c r="F235" s="272" t="s">
        <v>1524</v>
      </c>
      <c r="G235" s="272">
        <v>82</v>
      </c>
      <c r="H235" s="272">
        <v>85</v>
      </c>
      <c r="I235" s="272" t="s">
        <v>1525</v>
      </c>
      <c r="J235" s="272" t="s">
        <v>1525</v>
      </c>
    </row>
    <row r="236" spans="1:10" x14ac:dyDescent="0.2">
      <c r="A236" s="369" t="s">
        <v>1526</v>
      </c>
      <c r="B236" s="369"/>
      <c r="C236" s="369"/>
      <c r="D236" s="369"/>
      <c r="E236" s="369"/>
      <c r="F236" s="272" t="s">
        <v>1527</v>
      </c>
      <c r="G236" s="272">
        <v>90</v>
      </c>
      <c r="H236" s="272">
        <v>95</v>
      </c>
      <c r="I236" s="272" t="s">
        <v>477</v>
      </c>
      <c r="J236" s="272" t="s">
        <v>477</v>
      </c>
    </row>
    <row r="237" spans="1:10" ht="15" customHeight="1" x14ac:dyDescent="0.2">
      <c r="A237" s="129"/>
      <c r="B237" s="129"/>
      <c r="C237" s="129"/>
      <c r="D237" s="129"/>
      <c r="E237" s="129"/>
      <c r="F237" s="129"/>
      <c r="G237" s="129"/>
      <c r="H237" s="129"/>
      <c r="I237" s="129"/>
      <c r="J237" s="129"/>
    </row>
    <row r="238" spans="1:10" ht="15" customHeight="1" x14ac:dyDescent="0.2">
      <c r="A238" s="150" t="s">
        <v>1528</v>
      </c>
      <c r="B238" s="150"/>
      <c r="C238" s="150"/>
      <c r="D238" s="150"/>
      <c r="E238" s="150"/>
      <c r="F238" s="150"/>
      <c r="G238" s="150"/>
      <c r="H238" s="150"/>
      <c r="I238" s="150"/>
      <c r="J238" s="150"/>
    </row>
    <row r="239" spans="1:10" ht="15" customHeight="1" x14ac:dyDescent="0.2">
      <c r="A239" s="389" t="s">
        <v>291</v>
      </c>
      <c r="B239" s="389"/>
      <c r="C239" s="389"/>
      <c r="D239" s="389"/>
      <c r="E239" s="389"/>
      <c r="F239" s="389"/>
      <c r="G239" s="389"/>
      <c r="H239" s="389"/>
      <c r="I239" s="389"/>
      <c r="J239" s="389"/>
    </row>
    <row r="240" spans="1:10" ht="12" customHeight="1" x14ac:dyDescent="0.2">
      <c r="A240" s="129" t="s">
        <v>1529</v>
      </c>
      <c r="B240" s="129"/>
      <c r="C240" s="129"/>
      <c r="D240" s="129"/>
      <c r="E240" s="129"/>
      <c r="F240" s="129"/>
      <c r="G240" s="129"/>
      <c r="H240" s="129"/>
      <c r="I240" s="129"/>
      <c r="J240" s="129"/>
    </row>
    <row r="241" spans="1:10" x14ac:dyDescent="0.2">
      <c r="A241" s="128" t="s">
        <v>293</v>
      </c>
      <c r="B241" s="128"/>
      <c r="C241" s="128"/>
      <c r="D241" s="128"/>
      <c r="E241" s="128"/>
      <c r="F241" s="128"/>
      <c r="G241" s="128"/>
      <c r="H241" s="128"/>
      <c r="I241" s="128"/>
      <c r="J241" s="128"/>
    </row>
    <row r="242" spans="1:10" ht="33.75" x14ac:dyDescent="0.2">
      <c r="A242" s="152" t="s">
        <v>243</v>
      </c>
      <c r="B242" s="151" t="s">
        <v>242</v>
      </c>
      <c r="C242" s="151"/>
      <c r="D242" s="151"/>
      <c r="E242" s="132" t="str">
        <f t="shared" ref="E242:J242" si="41">E25</f>
        <v>Actuals           2014-2015</v>
      </c>
      <c r="F242" s="132" t="str">
        <f t="shared" si="41"/>
        <v>Approved Estimates          2015-2016</v>
      </c>
      <c r="G242" s="132" t="str">
        <f t="shared" si="41"/>
        <v>Revised Estimates                 2015-2016</v>
      </c>
      <c r="H242" s="132" t="str">
        <f t="shared" si="41"/>
        <v>Budget Estimates      2016-2017</v>
      </c>
      <c r="I242" s="132" t="str">
        <f t="shared" si="41"/>
        <v>Forward Estimates     2017-2018</v>
      </c>
      <c r="J242" s="132" t="str">
        <f t="shared" si="41"/>
        <v>Forward Estimates     2018-2019</v>
      </c>
    </row>
    <row r="243" spans="1:10" x14ac:dyDescent="0.2">
      <c r="A243" s="207">
        <v>130</v>
      </c>
      <c r="B243" s="129" t="s">
        <v>1530</v>
      </c>
      <c r="C243" s="129" t="s">
        <v>1530</v>
      </c>
      <c r="D243" s="129" t="s">
        <v>1530</v>
      </c>
      <c r="E243" s="211">
        <v>83030</v>
      </c>
      <c r="F243" s="211">
        <v>20000</v>
      </c>
      <c r="G243" s="211">
        <v>7900</v>
      </c>
      <c r="H243" s="210">
        <v>20000</v>
      </c>
      <c r="I243" s="211">
        <v>20000</v>
      </c>
      <c r="J243" s="211">
        <v>20000</v>
      </c>
    </row>
    <row r="244" spans="1:10" x14ac:dyDescent="0.2">
      <c r="A244" s="207">
        <v>160</v>
      </c>
      <c r="B244" s="129" t="s">
        <v>1531</v>
      </c>
      <c r="C244" s="129" t="s">
        <v>1531</v>
      </c>
      <c r="D244" s="129" t="s">
        <v>1531</v>
      </c>
      <c r="E244" s="211">
        <v>19509.28</v>
      </c>
      <c r="F244" s="211">
        <v>75000</v>
      </c>
      <c r="G244" s="211">
        <v>18000</v>
      </c>
      <c r="H244" s="210">
        <v>10000</v>
      </c>
      <c r="I244" s="211">
        <v>10000</v>
      </c>
      <c r="J244" s="211">
        <v>10000</v>
      </c>
    </row>
    <row r="245" spans="1:10" x14ac:dyDescent="0.2">
      <c r="A245" s="207">
        <v>160</v>
      </c>
      <c r="B245" s="129" t="s">
        <v>1532</v>
      </c>
      <c r="C245" s="129" t="s">
        <v>1532</v>
      </c>
      <c r="D245" s="129" t="s">
        <v>1532</v>
      </c>
      <c r="E245" s="211">
        <v>396006.67</v>
      </c>
      <c r="F245" s="211">
        <v>900000</v>
      </c>
      <c r="G245" s="211">
        <v>336500</v>
      </c>
      <c r="H245" s="210">
        <v>600000</v>
      </c>
      <c r="I245" s="211">
        <v>600000</v>
      </c>
      <c r="J245" s="211">
        <v>600000</v>
      </c>
    </row>
    <row r="246" spans="1:10" x14ac:dyDescent="0.2">
      <c r="A246" s="137" t="s">
        <v>1461</v>
      </c>
      <c r="B246" s="137"/>
      <c r="C246" s="137"/>
      <c r="D246" s="137"/>
      <c r="E246" s="138">
        <f t="shared" ref="E246:J246" si="42">SUM(E243:E245)</f>
        <v>498545.94999999995</v>
      </c>
      <c r="F246" s="138">
        <f t="shared" si="42"/>
        <v>995000</v>
      </c>
      <c r="G246" s="138">
        <f t="shared" si="42"/>
        <v>362400</v>
      </c>
      <c r="H246" s="138">
        <f t="shared" si="42"/>
        <v>630000</v>
      </c>
      <c r="I246" s="138">
        <f t="shared" si="42"/>
        <v>630000</v>
      </c>
      <c r="J246" s="138">
        <f t="shared" si="42"/>
        <v>630000</v>
      </c>
    </row>
    <row r="247" spans="1:10" ht="12.75" customHeight="1" x14ac:dyDescent="0.2">
      <c r="A247" s="129"/>
      <c r="B247" s="129"/>
      <c r="C247" s="129"/>
      <c r="D247" s="129"/>
      <c r="E247" s="129"/>
      <c r="F247" s="129"/>
      <c r="G247" s="129"/>
      <c r="H247" s="129"/>
      <c r="I247" s="129"/>
      <c r="J247" s="129"/>
    </row>
    <row r="248" spans="1:10" x14ac:dyDescent="0.2">
      <c r="A248" s="128" t="s">
        <v>284</v>
      </c>
      <c r="B248" s="128"/>
      <c r="C248" s="128"/>
      <c r="D248" s="128"/>
      <c r="E248" s="128"/>
      <c r="F248" s="128"/>
      <c r="G248" s="128"/>
      <c r="H248" s="128"/>
      <c r="I248" s="128"/>
      <c r="J248" s="128"/>
    </row>
    <row r="249" spans="1:10" ht="33.75" x14ac:dyDescent="0.2">
      <c r="A249" s="152" t="s">
        <v>243</v>
      </c>
      <c r="B249" s="151" t="s">
        <v>242</v>
      </c>
      <c r="C249" s="151"/>
      <c r="D249" s="151"/>
      <c r="E249" s="132" t="str">
        <f t="shared" ref="E249:J249" si="43">E25</f>
        <v>Actuals           2014-2015</v>
      </c>
      <c r="F249" s="132" t="str">
        <f t="shared" si="43"/>
        <v>Approved Estimates          2015-2016</v>
      </c>
      <c r="G249" s="132" t="str">
        <f t="shared" si="43"/>
        <v>Revised Estimates                 2015-2016</v>
      </c>
      <c r="H249" s="132" t="str">
        <f t="shared" si="43"/>
        <v>Budget Estimates      2016-2017</v>
      </c>
      <c r="I249" s="132" t="str">
        <f t="shared" si="43"/>
        <v>Forward Estimates     2017-2018</v>
      </c>
      <c r="J249" s="132" t="str">
        <f t="shared" si="43"/>
        <v>Forward Estimates     2018-2019</v>
      </c>
    </row>
    <row r="250" spans="1:10" x14ac:dyDescent="0.2">
      <c r="A250" s="151" t="s">
        <v>7</v>
      </c>
      <c r="B250" s="151"/>
      <c r="C250" s="151"/>
      <c r="D250" s="151"/>
      <c r="E250" s="151"/>
      <c r="F250" s="151"/>
      <c r="G250" s="151"/>
      <c r="H250" s="151"/>
      <c r="I250" s="151"/>
      <c r="J250" s="190"/>
    </row>
    <row r="251" spans="1:10" x14ac:dyDescent="0.2">
      <c r="A251" s="207">
        <v>210</v>
      </c>
      <c r="B251" s="129" t="s">
        <v>7</v>
      </c>
      <c r="C251" s="129"/>
      <c r="D251" s="129"/>
      <c r="E251" s="211">
        <v>1356704.63</v>
      </c>
      <c r="F251" s="209">
        <v>1452800</v>
      </c>
      <c r="G251" s="211">
        <v>1452800</v>
      </c>
      <c r="H251" s="210">
        <v>1508100</v>
      </c>
      <c r="I251" s="211">
        <v>1542100</v>
      </c>
      <c r="J251" s="211">
        <v>1570400</v>
      </c>
    </row>
    <row r="252" spans="1:10" x14ac:dyDescent="0.2">
      <c r="A252" s="207">
        <v>212</v>
      </c>
      <c r="B252" s="129" t="s">
        <v>9</v>
      </c>
      <c r="C252" s="129"/>
      <c r="D252" s="129"/>
      <c r="E252" s="211">
        <v>0</v>
      </c>
      <c r="F252" s="209">
        <v>0</v>
      </c>
      <c r="G252" s="211">
        <v>0</v>
      </c>
      <c r="H252" s="210">
        <v>0</v>
      </c>
      <c r="I252" s="211">
        <v>0</v>
      </c>
      <c r="J252" s="211">
        <v>0</v>
      </c>
    </row>
    <row r="253" spans="1:10" x14ac:dyDescent="0.2">
      <c r="A253" s="207">
        <v>216</v>
      </c>
      <c r="B253" s="129" t="s">
        <v>10</v>
      </c>
      <c r="C253" s="129"/>
      <c r="D253" s="129"/>
      <c r="E253" s="211">
        <v>130430.88</v>
      </c>
      <c r="F253" s="209">
        <v>114600</v>
      </c>
      <c r="G253" s="211">
        <v>114600</v>
      </c>
      <c r="H253" s="210">
        <v>111600</v>
      </c>
      <c r="I253" s="211">
        <v>111600</v>
      </c>
      <c r="J253" s="211">
        <v>111600</v>
      </c>
    </row>
    <row r="254" spans="1:10" x14ac:dyDescent="0.2">
      <c r="A254" s="207">
        <v>218</v>
      </c>
      <c r="B254" s="129" t="s">
        <v>294</v>
      </c>
      <c r="C254" s="129"/>
      <c r="D254" s="129"/>
      <c r="E254" s="211">
        <v>0</v>
      </c>
      <c r="F254" s="209">
        <v>61400</v>
      </c>
      <c r="G254" s="211">
        <v>61400</v>
      </c>
      <c r="H254" s="210">
        <v>0</v>
      </c>
      <c r="I254" s="211">
        <v>0</v>
      </c>
      <c r="J254" s="211">
        <v>0</v>
      </c>
    </row>
    <row r="255" spans="1:10" ht="15" customHeight="1" x14ac:dyDescent="0.2">
      <c r="A255" s="156" t="s">
        <v>295</v>
      </c>
      <c r="B255" s="156"/>
      <c r="C255" s="156"/>
      <c r="D255" s="156"/>
      <c r="E255" s="157">
        <f t="shared" ref="E255:J255" si="44">SUM(E251:E254)</f>
        <v>1487135.5099999998</v>
      </c>
      <c r="F255" s="157">
        <f t="shared" si="44"/>
        <v>1628800</v>
      </c>
      <c r="G255" s="157">
        <f t="shared" si="44"/>
        <v>1628800</v>
      </c>
      <c r="H255" s="157">
        <f t="shared" si="44"/>
        <v>1619700</v>
      </c>
      <c r="I255" s="157">
        <f t="shared" si="44"/>
        <v>1653700</v>
      </c>
      <c r="J255" s="157">
        <f t="shared" si="44"/>
        <v>1682000</v>
      </c>
    </row>
    <row r="256" spans="1:10" ht="15" customHeight="1" x14ac:dyDescent="0.2">
      <c r="A256" s="156" t="s">
        <v>296</v>
      </c>
      <c r="B256" s="156"/>
      <c r="C256" s="156"/>
      <c r="D256" s="156"/>
      <c r="E256" s="156"/>
      <c r="F256" s="156"/>
      <c r="G256" s="156"/>
      <c r="H256" s="156"/>
      <c r="I256" s="156"/>
      <c r="J256" s="190"/>
    </row>
    <row r="257" spans="1:10" x14ac:dyDescent="0.2">
      <c r="A257" s="207">
        <v>230</v>
      </c>
      <c r="B257" s="129" t="s">
        <v>210</v>
      </c>
      <c r="C257" s="129"/>
      <c r="D257" s="129"/>
      <c r="E257" s="211">
        <v>19997.12</v>
      </c>
      <c r="F257" s="211">
        <v>20000</v>
      </c>
      <c r="G257" s="211">
        <v>20000</v>
      </c>
      <c r="H257" s="210">
        <v>45000</v>
      </c>
      <c r="I257" s="211">
        <v>45000</v>
      </c>
      <c r="J257" s="211">
        <v>45000</v>
      </c>
    </row>
    <row r="258" spans="1:10" x14ac:dyDescent="0.2">
      <c r="A258" s="207">
        <v>232</v>
      </c>
      <c r="B258" s="129" t="s">
        <v>211</v>
      </c>
      <c r="C258" s="129"/>
      <c r="D258" s="129"/>
      <c r="E258" s="211">
        <v>1264917.49</v>
      </c>
      <c r="F258" s="211">
        <v>1200000</v>
      </c>
      <c r="G258" s="211">
        <v>1200000</v>
      </c>
      <c r="H258" s="210">
        <v>1200000</v>
      </c>
      <c r="I258" s="211">
        <v>1200000</v>
      </c>
      <c r="J258" s="211">
        <v>1200000</v>
      </c>
    </row>
    <row r="259" spans="1:10" x14ac:dyDescent="0.2">
      <c r="A259" s="207">
        <v>283</v>
      </c>
      <c r="B259" s="129" t="s">
        <v>236</v>
      </c>
      <c r="C259" s="129"/>
      <c r="D259" s="129"/>
      <c r="E259" s="211">
        <v>337710.07</v>
      </c>
      <c r="F259" s="211">
        <v>430000</v>
      </c>
      <c r="G259" s="211">
        <v>321000</v>
      </c>
      <c r="H259" s="210">
        <v>340000</v>
      </c>
      <c r="I259" s="211">
        <v>340000</v>
      </c>
      <c r="J259" s="211">
        <v>340000</v>
      </c>
    </row>
    <row r="260" spans="1:10" x14ac:dyDescent="0.2">
      <c r="A260" s="156" t="s">
        <v>298</v>
      </c>
      <c r="B260" s="156"/>
      <c r="C260" s="156"/>
      <c r="D260" s="156"/>
      <c r="E260" s="157">
        <f t="shared" ref="E260:J260" si="45">SUM(E257:E259)</f>
        <v>1622624.6800000002</v>
      </c>
      <c r="F260" s="264">
        <f t="shared" si="45"/>
        <v>1650000</v>
      </c>
      <c r="G260" s="157">
        <f t="shared" si="45"/>
        <v>1541000</v>
      </c>
      <c r="H260" s="157">
        <f t="shared" si="45"/>
        <v>1585000</v>
      </c>
      <c r="I260" s="157">
        <f t="shared" si="45"/>
        <v>1585000</v>
      </c>
      <c r="J260" s="157">
        <f t="shared" si="45"/>
        <v>1585000</v>
      </c>
    </row>
    <row r="261" spans="1:10" ht="15" customHeight="1" x14ac:dyDescent="0.2">
      <c r="A261" s="159" t="s">
        <v>299</v>
      </c>
      <c r="B261" s="159"/>
      <c r="C261" s="159"/>
      <c r="D261" s="159"/>
      <c r="E261" s="160">
        <f t="shared" ref="E261:J261" si="46">SUM(E255,E260)</f>
        <v>3109760.19</v>
      </c>
      <c r="F261" s="160">
        <f t="shared" si="46"/>
        <v>3278800</v>
      </c>
      <c r="G261" s="160">
        <f t="shared" si="46"/>
        <v>3169800</v>
      </c>
      <c r="H261" s="160">
        <f t="shared" si="46"/>
        <v>3204700</v>
      </c>
      <c r="I261" s="160">
        <f t="shared" si="46"/>
        <v>3238700</v>
      </c>
      <c r="J261" s="160">
        <f t="shared" si="46"/>
        <v>3267000</v>
      </c>
    </row>
    <row r="262" spans="1:10" ht="11.25" customHeight="1" x14ac:dyDescent="0.2">
      <c r="A262" s="129"/>
      <c r="B262" s="129"/>
      <c r="C262" s="129"/>
      <c r="D262" s="129"/>
      <c r="E262" s="129"/>
      <c r="F262" s="129"/>
      <c r="G262" s="129"/>
      <c r="H262" s="129"/>
      <c r="I262" s="129"/>
      <c r="J262" s="190"/>
    </row>
    <row r="263" spans="1:10" x14ac:dyDescent="0.2">
      <c r="A263" s="162" t="s">
        <v>15</v>
      </c>
      <c r="B263" s="162"/>
      <c r="C263" s="162"/>
      <c r="D263" s="162"/>
      <c r="E263" s="162"/>
      <c r="F263" s="162"/>
      <c r="G263" s="162"/>
      <c r="H263" s="162"/>
      <c r="I263" s="162"/>
      <c r="J263" s="162"/>
    </row>
    <row r="264" spans="1:10" ht="17.25" customHeight="1" x14ac:dyDescent="0.2">
      <c r="A264" s="131" t="s">
        <v>242</v>
      </c>
      <c r="B264" s="131"/>
      <c r="C264" s="131"/>
      <c r="D264" s="131"/>
      <c r="E264" s="128" t="str">
        <f t="shared" ref="E264:J264" si="47">E25</f>
        <v>Actuals           2014-2015</v>
      </c>
      <c r="F264" s="128" t="str">
        <f t="shared" si="47"/>
        <v>Approved Estimates          2015-2016</v>
      </c>
      <c r="G264" s="128" t="str">
        <f t="shared" si="47"/>
        <v>Revised Estimates                 2015-2016</v>
      </c>
      <c r="H264" s="128" t="str">
        <f t="shared" si="47"/>
        <v>Budget Estimates      2016-2017</v>
      </c>
      <c r="I264" s="128" t="str">
        <f t="shared" si="47"/>
        <v>Forward Estimates     2017-2018</v>
      </c>
      <c r="J264" s="128" t="str">
        <f t="shared" si="47"/>
        <v>Forward Estimates     2018-2019</v>
      </c>
    </row>
    <row r="265" spans="1:10" ht="16.5" customHeight="1" x14ac:dyDescent="0.2">
      <c r="A265" s="130" t="s">
        <v>243</v>
      </c>
      <c r="B265" s="130" t="s">
        <v>244</v>
      </c>
      <c r="C265" s="131" t="s">
        <v>245</v>
      </c>
      <c r="D265" s="131"/>
      <c r="E265" s="128"/>
      <c r="F265" s="128"/>
      <c r="G265" s="128"/>
      <c r="H265" s="128"/>
      <c r="I265" s="128"/>
      <c r="J265" s="128"/>
    </row>
    <row r="266" spans="1:10" ht="15" customHeight="1" x14ac:dyDescent="0.2">
      <c r="A266" s="163"/>
      <c r="B266" s="163"/>
      <c r="C266" s="156"/>
      <c r="D266" s="156"/>
      <c r="E266" s="158"/>
      <c r="F266" s="209"/>
      <c r="G266" s="158"/>
      <c r="H266" s="136"/>
      <c r="I266" s="158"/>
      <c r="J266" s="135"/>
    </row>
    <row r="267" spans="1:10" x14ac:dyDescent="0.2">
      <c r="A267" s="163"/>
      <c r="B267" s="163"/>
      <c r="C267" s="215"/>
      <c r="D267" s="217"/>
      <c r="E267" s="158"/>
      <c r="F267" s="209"/>
      <c r="G267" s="158"/>
      <c r="H267" s="136"/>
      <c r="I267" s="158"/>
      <c r="J267" s="135"/>
    </row>
    <row r="268" spans="1:10" ht="10.5" customHeight="1" x14ac:dyDescent="0.2">
      <c r="A268" s="137" t="s">
        <v>15</v>
      </c>
      <c r="B268" s="137"/>
      <c r="C268" s="137"/>
      <c r="D268" s="137"/>
      <c r="E268" s="138">
        <v>0</v>
      </c>
      <c r="F268" s="138">
        <v>0</v>
      </c>
      <c r="G268" s="138">
        <v>0</v>
      </c>
      <c r="H268" s="138">
        <v>0</v>
      </c>
      <c r="I268" s="138">
        <v>0</v>
      </c>
      <c r="J268" s="138">
        <v>0</v>
      </c>
    </row>
    <row r="269" spans="1:10" ht="12" customHeight="1" x14ac:dyDescent="0.2">
      <c r="A269" s="290"/>
      <c r="B269" s="290"/>
      <c r="C269" s="290"/>
      <c r="D269" s="290"/>
      <c r="E269" s="290"/>
      <c r="F269" s="290"/>
      <c r="G269" s="290"/>
      <c r="H269" s="290"/>
      <c r="I269" s="290"/>
      <c r="J269" s="290"/>
    </row>
    <row r="270" spans="1:10" ht="12.75" customHeight="1" x14ac:dyDescent="0.2">
      <c r="A270" s="161" t="s">
        <v>288</v>
      </c>
      <c r="B270" s="161"/>
      <c r="C270" s="161"/>
      <c r="D270" s="161"/>
      <c r="E270" s="161"/>
      <c r="F270" s="161"/>
      <c r="G270" s="161"/>
      <c r="H270" s="161"/>
      <c r="I270" s="161"/>
      <c r="J270" s="161"/>
    </row>
    <row r="271" spans="1:10" ht="12" customHeight="1" x14ac:dyDescent="0.2">
      <c r="A271" s="131" t="s">
        <v>300</v>
      </c>
      <c r="B271" s="131"/>
      <c r="C271" s="131"/>
      <c r="D271" s="132" t="s">
        <v>301</v>
      </c>
      <c r="E271" s="132" t="s">
        <v>302</v>
      </c>
      <c r="F271" s="131" t="s">
        <v>300</v>
      </c>
      <c r="G271" s="131"/>
      <c r="H271" s="131"/>
      <c r="I271" s="132" t="s">
        <v>301</v>
      </c>
      <c r="J271" s="132" t="s">
        <v>302</v>
      </c>
    </row>
    <row r="272" spans="1:10" x14ac:dyDescent="0.2">
      <c r="A272" s="134" t="str">
        <f>Establishment!D456</f>
        <v>Plant Superintendent</v>
      </c>
      <c r="B272" s="134"/>
      <c r="C272" s="134"/>
      <c r="D272" s="133" t="str">
        <f>Establishment!E456</f>
        <v>R17-13</v>
      </c>
      <c r="E272" s="133">
        <f>Establishment!C456</f>
        <v>1</v>
      </c>
      <c r="F272" s="134" t="str">
        <f>Establishment!D465</f>
        <v>Mechanic II</v>
      </c>
      <c r="G272" s="134"/>
      <c r="H272" s="134"/>
      <c r="I272" s="133" t="str">
        <f>Establishment!E465</f>
        <v>R33-29</v>
      </c>
      <c r="J272" s="133">
        <f>Establishment!C465</f>
        <v>3</v>
      </c>
    </row>
    <row r="273" spans="1:10" ht="12.75" customHeight="1" x14ac:dyDescent="0.2">
      <c r="A273" s="134" t="str">
        <f>Establishment!D457</f>
        <v>Senior Foreman - Mechanics</v>
      </c>
      <c r="B273" s="134"/>
      <c r="C273" s="134"/>
      <c r="D273" s="133" t="str">
        <f>Establishment!E457</f>
        <v>R28-22</v>
      </c>
      <c r="E273" s="133">
        <f>Establishment!C457</f>
        <v>1</v>
      </c>
      <c r="F273" s="134" t="str">
        <f>Establishment!D466</f>
        <v>Mechanic I</v>
      </c>
      <c r="G273" s="134"/>
      <c r="H273" s="134"/>
      <c r="I273" s="133" t="str">
        <f>Establishment!E466</f>
        <v>R39-32</v>
      </c>
      <c r="J273" s="133">
        <f>Establishment!C466</f>
        <v>3</v>
      </c>
    </row>
    <row r="274" spans="1:10" ht="14.25" customHeight="1" x14ac:dyDescent="0.2">
      <c r="A274" s="134" t="str">
        <f>Establishment!D458</f>
        <v>Plant Distribution Officer</v>
      </c>
      <c r="B274" s="134"/>
      <c r="C274" s="134"/>
      <c r="D274" s="133" t="str">
        <f>Establishment!E458</f>
        <v>R28-22</v>
      </c>
      <c r="E274" s="133">
        <f>Establishment!C458</f>
        <v>1</v>
      </c>
      <c r="F274" s="134" t="str">
        <f>Establishment!D467</f>
        <v>Cesspool Operator</v>
      </c>
      <c r="G274" s="134"/>
      <c r="H274" s="134"/>
      <c r="I274" s="133" t="str">
        <f>Establishment!E467</f>
        <v>R46-34/33-29</v>
      </c>
      <c r="J274" s="133">
        <f>Establishment!C467</f>
        <v>2</v>
      </c>
    </row>
    <row r="275" spans="1:10" ht="12" customHeight="1" x14ac:dyDescent="0.2">
      <c r="A275" s="134" t="str">
        <f>Establishment!D459</f>
        <v>Senior Foreman - Plant Hire &amp; Mechanical Services</v>
      </c>
      <c r="B275" s="134"/>
      <c r="C275" s="134"/>
      <c r="D275" s="133" t="str">
        <f>Establishment!E459</f>
        <v>R28-22</v>
      </c>
      <c r="E275" s="133">
        <f>Establishment!C459</f>
        <v>1</v>
      </c>
      <c r="F275" s="134" t="str">
        <f>Establishment!D468</f>
        <v>Cesspool Driver</v>
      </c>
      <c r="G275" s="134"/>
      <c r="H275" s="134"/>
      <c r="I275" s="133" t="str">
        <f>Establishment!E468</f>
        <v>R33-29/28-22</v>
      </c>
      <c r="J275" s="133">
        <f>Establishment!C468</f>
        <v>1</v>
      </c>
    </row>
    <row r="276" spans="1:10" ht="14.25" customHeight="1" x14ac:dyDescent="0.2">
      <c r="A276" s="134" t="str">
        <f>Establishment!D460</f>
        <v>Snr Mechanic/Tractor Foreman</v>
      </c>
      <c r="B276" s="134"/>
      <c r="C276" s="134"/>
      <c r="D276" s="133" t="str">
        <f>Establishment!E460</f>
        <v>R28-22</v>
      </c>
      <c r="E276" s="133">
        <f>Establishment!C460</f>
        <v>1</v>
      </c>
      <c r="F276" s="134" t="str">
        <f>Establishment!D469</f>
        <v>Security</v>
      </c>
      <c r="G276" s="134"/>
      <c r="H276" s="134"/>
      <c r="I276" s="133" t="str">
        <f>Establishment!E469</f>
        <v>R33-29</v>
      </c>
      <c r="J276" s="133">
        <f>Establishment!C469</f>
        <v>1</v>
      </c>
    </row>
    <row r="277" spans="1:10" x14ac:dyDescent="0.2">
      <c r="A277" s="134" t="str">
        <f>Establishment!D461</f>
        <v>Heavy Equipment Operator</v>
      </c>
      <c r="B277" s="134"/>
      <c r="C277" s="134"/>
      <c r="D277" s="133" t="str">
        <f>Establishment!E461</f>
        <v>R28-22</v>
      </c>
      <c r="E277" s="133">
        <f>Establishment!C461</f>
        <v>8</v>
      </c>
      <c r="F277" s="134" t="str">
        <f>Establishment!D470</f>
        <v>Welder (Snr)</v>
      </c>
      <c r="G277" s="134"/>
      <c r="H277" s="134"/>
      <c r="I277" s="133" t="str">
        <f>Establishment!E470</f>
        <v>R28-22</v>
      </c>
      <c r="J277" s="133">
        <f>Establishment!C470</f>
        <v>1</v>
      </c>
    </row>
    <row r="278" spans="1:10" x14ac:dyDescent="0.2">
      <c r="A278" s="134" t="str">
        <f>Establishment!D462</f>
        <v>Light Equipment Operator</v>
      </c>
      <c r="B278" s="134"/>
      <c r="C278" s="134"/>
      <c r="D278" s="133" t="str">
        <f>Establishment!E462</f>
        <v>R33-29</v>
      </c>
      <c r="E278" s="133">
        <f>Establishment!C462</f>
        <v>5</v>
      </c>
      <c r="F278" s="134" t="str">
        <f>Establishment!D471</f>
        <v>Welder</v>
      </c>
      <c r="G278" s="134"/>
      <c r="H278" s="134"/>
      <c r="I278" s="133" t="str">
        <f>Establishment!E471</f>
        <v>R33-29</v>
      </c>
      <c r="J278" s="133">
        <f>Establishment!C471</f>
        <v>1</v>
      </c>
    </row>
    <row r="279" spans="1:10" ht="12.75" customHeight="1" x14ac:dyDescent="0.2">
      <c r="A279" s="134" t="str">
        <f>Establishment!D463</f>
        <v>Driver</v>
      </c>
      <c r="B279" s="134"/>
      <c r="C279" s="134"/>
      <c r="D279" s="133" t="str">
        <f>Establishment!E463</f>
        <v>R39-32</v>
      </c>
      <c r="E279" s="133">
        <f>Establishment!C463</f>
        <v>1</v>
      </c>
      <c r="F279" s="134" t="str">
        <f>Establishment!D472</f>
        <v>Tractor Mechanic</v>
      </c>
      <c r="G279" s="134"/>
      <c r="H279" s="134"/>
      <c r="I279" s="133" t="str">
        <f>Establishment!E472</f>
        <v>R39-29/28-22</v>
      </c>
      <c r="J279" s="133">
        <f>Establishment!C472</f>
        <v>1</v>
      </c>
    </row>
    <row r="280" spans="1:10" ht="12.75" customHeight="1" x14ac:dyDescent="0.2">
      <c r="A280" s="134" t="str">
        <f>Establishment!D464</f>
        <v>Mechanic Handyman</v>
      </c>
      <c r="B280" s="134"/>
      <c r="C280" s="134"/>
      <c r="D280" s="133" t="str">
        <f>Establishment!E464</f>
        <v>R33-29</v>
      </c>
      <c r="E280" s="133">
        <f>Establishment!C464</f>
        <v>1</v>
      </c>
      <c r="F280" s="134" t="str">
        <f>Establishment!D473</f>
        <v>Tractor Operator</v>
      </c>
      <c r="G280" s="134"/>
      <c r="H280" s="134"/>
      <c r="I280" s="133" t="str">
        <f>Establishment!E473</f>
        <v>R33-29</v>
      </c>
      <c r="J280" s="133">
        <f>Establishment!C473</f>
        <v>3</v>
      </c>
    </row>
    <row r="281" spans="1:10" x14ac:dyDescent="0.2">
      <c r="A281" s="203" t="s">
        <v>303</v>
      </c>
      <c r="B281" s="203"/>
      <c r="C281" s="203"/>
      <c r="D281" s="203"/>
      <c r="E281" s="203"/>
      <c r="F281" s="203"/>
      <c r="G281" s="203"/>
      <c r="H281" s="203"/>
      <c r="I281" s="203"/>
      <c r="J281" s="204">
        <f>SUM(E272:E280,J272:J280)</f>
        <v>36</v>
      </c>
    </row>
    <row r="282" spans="1:10" ht="15" customHeight="1" x14ac:dyDescent="0.2">
      <c r="A282" s="129"/>
      <c r="B282" s="129"/>
      <c r="C282" s="129"/>
      <c r="D282" s="129"/>
      <c r="E282" s="129"/>
      <c r="F282" s="129"/>
      <c r="G282" s="129"/>
      <c r="H282" s="129"/>
      <c r="I282" s="129"/>
      <c r="J282" s="129"/>
    </row>
    <row r="283" spans="1:10" x14ac:dyDescent="0.2">
      <c r="A283" s="180" t="s">
        <v>304</v>
      </c>
      <c r="B283" s="180"/>
      <c r="C283" s="180"/>
      <c r="D283" s="180"/>
      <c r="E283" s="180"/>
      <c r="F283" s="180"/>
      <c r="G283" s="180"/>
      <c r="H283" s="180"/>
      <c r="I283" s="180"/>
      <c r="J283" s="180"/>
    </row>
    <row r="284" spans="1:10" x14ac:dyDescent="0.2">
      <c r="A284" s="181" t="s">
        <v>305</v>
      </c>
      <c r="B284" s="181"/>
      <c r="C284" s="181"/>
      <c r="D284" s="181"/>
      <c r="E284" s="181"/>
      <c r="F284" s="181"/>
      <c r="G284" s="181"/>
      <c r="H284" s="181"/>
      <c r="I284" s="181"/>
      <c r="J284" s="181"/>
    </row>
    <row r="285" spans="1:10" x14ac:dyDescent="0.2">
      <c r="A285" s="129" t="s">
        <v>1533</v>
      </c>
      <c r="B285" s="129"/>
      <c r="C285" s="129"/>
      <c r="D285" s="129"/>
      <c r="E285" s="129"/>
      <c r="F285" s="129"/>
      <c r="G285" s="129"/>
      <c r="H285" s="129"/>
      <c r="I285" s="129"/>
      <c r="J285" s="129"/>
    </row>
    <row r="286" spans="1:10" x14ac:dyDescent="0.2">
      <c r="A286" s="129" t="s">
        <v>1534</v>
      </c>
      <c r="B286" s="129"/>
      <c r="C286" s="129"/>
      <c r="D286" s="129"/>
      <c r="E286" s="129"/>
      <c r="F286" s="129"/>
      <c r="G286" s="129"/>
      <c r="H286" s="129"/>
      <c r="I286" s="129"/>
      <c r="J286" s="129"/>
    </row>
    <row r="287" spans="1:10" x14ac:dyDescent="0.2">
      <c r="A287" s="129"/>
      <c r="B287" s="129"/>
      <c r="C287" s="129"/>
      <c r="D287" s="129"/>
      <c r="E287" s="129"/>
      <c r="F287" s="129"/>
      <c r="G287" s="129"/>
      <c r="H287" s="129"/>
      <c r="I287" s="129"/>
      <c r="J287" s="129"/>
    </row>
    <row r="288" spans="1:10" x14ac:dyDescent="0.2">
      <c r="A288" s="183" t="s">
        <v>415</v>
      </c>
      <c r="B288" s="183"/>
      <c r="C288" s="183"/>
      <c r="D288" s="183"/>
      <c r="E288" s="183"/>
      <c r="F288" s="183"/>
      <c r="G288" s="183"/>
      <c r="H288" s="183"/>
      <c r="I288" s="183"/>
      <c r="J288" s="183"/>
    </row>
    <row r="289" spans="1:10" x14ac:dyDescent="0.2">
      <c r="A289" s="129"/>
      <c r="B289" s="129"/>
      <c r="C289" s="129"/>
      <c r="D289" s="129"/>
      <c r="E289" s="129"/>
      <c r="F289" s="129"/>
      <c r="G289" s="129"/>
      <c r="H289" s="129"/>
      <c r="I289" s="129"/>
      <c r="J289" s="129"/>
    </row>
    <row r="290" spans="1:10" x14ac:dyDescent="0.2">
      <c r="A290" s="129"/>
      <c r="B290" s="129"/>
      <c r="C290" s="129"/>
      <c r="D290" s="129"/>
      <c r="E290" s="129"/>
      <c r="F290" s="129"/>
      <c r="G290" s="129"/>
      <c r="H290" s="129"/>
      <c r="I290" s="129"/>
      <c r="J290" s="129"/>
    </row>
    <row r="291" spans="1:10" x14ac:dyDescent="0.2">
      <c r="A291" s="129"/>
      <c r="B291" s="129"/>
      <c r="C291" s="129"/>
      <c r="D291" s="129"/>
      <c r="E291" s="129"/>
      <c r="F291" s="129"/>
      <c r="G291" s="129"/>
      <c r="H291" s="129"/>
      <c r="I291" s="129"/>
      <c r="J291" s="129"/>
    </row>
    <row r="292" spans="1:10" ht="25.5" customHeight="1" x14ac:dyDescent="0.2">
      <c r="A292" s="180" t="s">
        <v>315</v>
      </c>
      <c r="B292" s="180"/>
      <c r="C292" s="180"/>
      <c r="D292" s="180"/>
      <c r="E292" s="180"/>
      <c r="F292" s="184" t="str">
        <f>F157</f>
        <v xml:space="preserve"> Actual 2014-2015</v>
      </c>
      <c r="G292" s="184" t="str">
        <f>G157</f>
        <v xml:space="preserve"> Estimate 2015-2016</v>
      </c>
      <c r="H292" s="184" t="str">
        <f>H157</f>
        <v xml:space="preserve"> Target 2016-2017</v>
      </c>
      <c r="I292" s="184" t="str">
        <f>I157</f>
        <v xml:space="preserve"> Target 2017-2018</v>
      </c>
      <c r="J292" s="184" t="str">
        <f>J157</f>
        <v xml:space="preserve"> Target 2018-2019</v>
      </c>
    </row>
    <row r="293" spans="1:10" x14ac:dyDescent="0.2">
      <c r="A293" s="180" t="s">
        <v>316</v>
      </c>
      <c r="B293" s="180"/>
      <c r="C293" s="180"/>
      <c r="D293" s="180"/>
      <c r="E293" s="180"/>
      <c r="F293" s="180"/>
      <c r="G293" s="180"/>
      <c r="H293" s="180"/>
      <c r="I293" s="180"/>
      <c r="J293" s="180"/>
    </row>
    <row r="294" spans="1:10" x14ac:dyDescent="0.2">
      <c r="A294" s="306" t="s">
        <v>1535</v>
      </c>
      <c r="B294" s="306"/>
      <c r="C294" s="306"/>
      <c r="D294" s="306"/>
      <c r="E294" s="306"/>
      <c r="F294" s="272">
        <v>70</v>
      </c>
      <c r="G294" s="191">
        <v>75</v>
      </c>
      <c r="H294" s="191">
        <v>80</v>
      </c>
      <c r="I294" s="191">
        <v>85</v>
      </c>
      <c r="J294" s="191" t="s">
        <v>1527</v>
      </c>
    </row>
    <row r="295" spans="1:10" x14ac:dyDescent="0.2">
      <c r="A295" s="306" t="s">
        <v>1536</v>
      </c>
      <c r="B295" s="306"/>
      <c r="C295" s="306"/>
      <c r="D295" s="306"/>
      <c r="E295" s="306"/>
      <c r="F295" s="272">
        <v>7000</v>
      </c>
      <c r="G295" s="191" t="s">
        <v>1537</v>
      </c>
      <c r="H295" s="191" t="s">
        <v>1538</v>
      </c>
      <c r="I295" s="191">
        <v>8100</v>
      </c>
      <c r="J295" s="191" t="s">
        <v>1539</v>
      </c>
    </row>
    <row r="296" spans="1:10" x14ac:dyDescent="0.2">
      <c r="A296" s="306" t="s">
        <v>1540</v>
      </c>
      <c r="B296" s="306"/>
      <c r="C296" s="306"/>
      <c r="D296" s="306"/>
      <c r="E296" s="306"/>
      <c r="F296" s="272" t="s">
        <v>1541</v>
      </c>
      <c r="G296" s="191" t="s">
        <v>1542</v>
      </c>
      <c r="H296" s="191" t="s">
        <v>1543</v>
      </c>
      <c r="I296" s="191" t="s">
        <v>1544</v>
      </c>
      <c r="J296" s="191" t="s">
        <v>1545</v>
      </c>
    </row>
    <row r="297" spans="1:10" x14ac:dyDescent="0.2">
      <c r="A297" s="129"/>
      <c r="B297" s="129"/>
      <c r="C297" s="129"/>
      <c r="D297" s="129"/>
      <c r="E297" s="129"/>
      <c r="F297" s="129"/>
      <c r="G297" s="129"/>
      <c r="H297" s="129"/>
      <c r="I297" s="129"/>
      <c r="J297" s="129"/>
    </row>
    <row r="298" spans="1:10" ht="22.5" customHeight="1" x14ac:dyDescent="0.2">
      <c r="A298" s="180" t="s">
        <v>324</v>
      </c>
      <c r="B298" s="180"/>
      <c r="C298" s="180"/>
      <c r="D298" s="180"/>
      <c r="E298" s="180"/>
      <c r="F298" s="180"/>
      <c r="G298" s="180"/>
      <c r="H298" s="180"/>
      <c r="I298" s="180"/>
      <c r="J298" s="180"/>
    </row>
    <row r="299" spans="1:10" x14ac:dyDescent="0.2">
      <c r="A299" s="306" t="s">
        <v>1546</v>
      </c>
      <c r="B299" s="306"/>
      <c r="C299" s="306"/>
      <c r="D299" s="306"/>
      <c r="E299" s="306"/>
      <c r="F299" s="272" t="s">
        <v>1547</v>
      </c>
      <c r="G299" s="191">
        <v>24</v>
      </c>
      <c r="H299" s="191">
        <v>26</v>
      </c>
      <c r="I299" s="191" t="s">
        <v>1548</v>
      </c>
      <c r="J299" s="191" t="s">
        <v>1549</v>
      </c>
    </row>
    <row r="300" spans="1:10" x14ac:dyDescent="0.2">
      <c r="A300" s="306" t="s">
        <v>1550</v>
      </c>
      <c r="B300" s="306"/>
      <c r="C300" s="306"/>
      <c r="D300" s="306"/>
      <c r="E300" s="306"/>
      <c r="F300" s="272">
        <v>19</v>
      </c>
      <c r="G300" s="191">
        <v>16</v>
      </c>
      <c r="H300" s="191">
        <v>14</v>
      </c>
      <c r="I300" s="191">
        <v>12</v>
      </c>
      <c r="J300" s="191">
        <v>10</v>
      </c>
    </row>
    <row r="301" spans="1:10" x14ac:dyDescent="0.2">
      <c r="A301" s="306" t="s">
        <v>1551</v>
      </c>
      <c r="B301" s="306"/>
      <c r="C301" s="306"/>
      <c r="D301" s="306"/>
      <c r="E301" s="306"/>
      <c r="F301" s="272" t="s">
        <v>1549</v>
      </c>
      <c r="G301" s="191">
        <v>35</v>
      </c>
      <c r="H301" s="191">
        <v>37</v>
      </c>
      <c r="I301" s="191">
        <v>41</v>
      </c>
      <c r="J301" s="191">
        <v>48</v>
      </c>
    </row>
    <row r="302" spans="1:10" x14ac:dyDescent="0.2">
      <c r="A302" s="129"/>
      <c r="B302" s="129"/>
      <c r="C302" s="129"/>
      <c r="D302" s="129"/>
      <c r="E302" s="129"/>
      <c r="F302" s="129"/>
      <c r="G302" s="129"/>
      <c r="H302" s="129"/>
      <c r="I302" s="129"/>
      <c r="J302" s="129"/>
    </row>
    <row r="303" spans="1:10" ht="13.9" customHeight="1" x14ac:dyDescent="0.2">
      <c r="A303" s="150" t="s">
        <v>1552</v>
      </c>
      <c r="B303" s="150"/>
      <c r="C303" s="150"/>
      <c r="D303" s="150"/>
      <c r="E303" s="150"/>
      <c r="F303" s="150"/>
      <c r="G303" s="150"/>
      <c r="H303" s="150"/>
      <c r="I303" s="150"/>
      <c r="J303" s="150"/>
    </row>
    <row r="304" spans="1:10" ht="12" customHeight="1" x14ac:dyDescent="0.2">
      <c r="A304" s="389" t="s">
        <v>291</v>
      </c>
      <c r="B304" s="389"/>
      <c r="C304" s="389"/>
      <c r="D304" s="389"/>
      <c r="E304" s="389"/>
      <c r="F304" s="389"/>
      <c r="G304" s="389"/>
      <c r="H304" s="389"/>
      <c r="I304" s="389"/>
      <c r="J304" s="389"/>
    </row>
    <row r="305" spans="1:10" x14ac:dyDescent="0.2">
      <c r="A305" s="129" t="s">
        <v>1553</v>
      </c>
      <c r="B305" s="129"/>
      <c r="C305" s="129"/>
      <c r="D305" s="129"/>
      <c r="E305" s="129"/>
      <c r="F305" s="129"/>
      <c r="G305" s="129"/>
      <c r="H305" s="129"/>
      <c r="I305" s="129"/>
      <c r="J305" s="129"/>
    </row>
    <row r="306" spans="1:10" x14ac:dyDescent="0.2">
      <c r="A306" s="128" t="s">
        <v>293</v>
      </c>
      <c r="B306" s="128"/>
      <c r="C306" s="128"/>
      <c r="D306" s="128"/>
      <c r="E306" s="128"/>
      <c r="F306" s="128"/>
      <c r="G306" s="128"/>
      <c r="H306" s="128"/>
      <c r="I306" s="128"/>
      <c r="J306" s="128"/>
    </row>
    <row r="307" spans="1:10" ht="33.75" x14ac:dyDescent="0.2">
      <c r="A307" s="152" t="s">
        <v>243</v>
      </c>
      <c r="B307" s="151" t="s">
        <v>242</v>
      </c>
      <c r="C307" s="151"/>
      <c r="D307" s="151"/>
      <c r="E307" s="132" t="str">
        <f t="shared" ref="E307:J307" si="48">E25</f>
        <v>Actuals           2014-2015</v>
      </c>
      <c r="F307" s="132" t="str">
        <f t="shared" si="48"/>
        <v>Approved Estimates          2015-2016</v>
      </c>
      <c r="G307" s="132" t="str">
        <f t="shared" si="48"/>
        <v>Revised Estimates                 2015-2016</v>
      </c>
      <c r="H307" s="132" t="str">
        <f t="shared" si="48"/>
        <v>Budget Estimates      2016-2017</v>
      </c>
      <c r="I307" s="132" t="str">
        <f t="shared" si="48"/>
        <v>Forward Estimates     2017-2018</v>
      </c>
      <c r="J307" s="132" t="str">
        <f t="shared" si="48"/>
        <v>Forward Estimates     2018-2019</v>
      </c>
    </row>
    <row r="308" spans="1:10" x14ac:dyDescent="0.2">
      <c r="A308" s="207">
        <v>130</v>
      </c>
      <c r="B308" s="129" t="s">
        <v>1554</v>
      </c>
      <c r="C308" s="129" t="s">
        <v>1554</v>
      </c>
      <c r="D308" s="129" t="s">
        <v>1554</v>
      </c>
      <c r="E308" s="211">
        <v>40001</v>
      </c>
      <c r="F308" s="211">
        <v>55000</v>
      </c>
      <c r="G308" s="211">
        <v>51000</v>
      </c>
      <c r="H308" s="210">
        <v>55000</v>
      </c>
      <c r="I308" s="211">
        <v>55000</v>
      </c>
      <c r="J308" s="211">
        <v>55000</v>
      </c>
    </row>
    <row r="309" spans="1:10" x14ac:dyDescent="0.2">
      <c r="A309" s="207">
        <v>130</v>
      </c>
      <c r="B309" s="129" t="s">
        <v>1555</v>
      </c>
      <c r="C309" s="129" t="s">
        <v>1555</v>
      </c>
      <c r="D309" s="129" t="s">
        <v>1555</v>
      </c>
      <c r="E309" s="211">
        <v>78930</v>
      </c>
      <c r="F309" s="211">
        <v>110000</v>
      </c>
      <c r="G309" s="211">
        <v>87000</v>
      </c>
      <c r="H309" s="210">
        <v>110000</v>
      </c>
      <c r="I309" s="211">
        <v>110000</v>
      </c>
      <c r="J309" s="211">
        <v>110000</v>
      </c>
    </row>
    <row r="310" spans="1:10" x14ac:dyDescent="0.2">
      <c r="A310" s="207">
        <v>130</v>
      </c>
      <c r="B310" s="129" t="s">
        <v>1556</v>
      </c>
      <c r="C310" s="129"/>
      <c r="D310" s="129"/>
      <c r="E310" s="211">
        <v>45000</v>
      </c>
      <c r="F310" s="211">
        <v>150000</v>
      </c>
      <c r="G310" s="211">
        <v>95000</v>
      </c>
      <c r="H310" s="210">
        <v>150000</v>
      </c>
      <c r="I310" s="211">
        <v>150000</v>
      </c>
      <c r="J310" s="211">
        <v>150000</v>
      </c>
    </row>
    <row r="311" spans="1:10" x14ac:dyDescent="0.2">
      <c r="A311" s="207">
        <v>135</v>
      </c>
      <c r="B311" s="129" t="s">
        <v>1557</v>
      </c>
      <c r="C311" s="129" t="s">
        <v>1557</v>
      </c>
      <c r="D311" s="129" t="s">
        <v>1557</v>
      </c>
      <c r="E311" s="211">
        <v>13950</v>
      </c>
      <c r="F311" s="211">
        <v>12000</v>
      </c>
      <c r="G311" s="211">
        <v>19200</v>
      </c>
      <c r="H311" s="210">
        <v>12000</v>
      </c>
      <c r="I311" s="211">
        <v>12000</v>
      </c>
      <c r="J311" s="211">
        <v>12000</v>
      </c>
    </row>
    <row r="312" spans="1:10" x14ac:dyDescent="0.2">
      <c r="A312" s="207">
        <v>160</v>
      </c>
      <c r="B312" s="129" t="s">
        <v>1558</v>
      </c>
      <c r="C312" s="129" t="s">
        <v>1558</v>
      </c>
      <c r="D312" s="129" t="s">
        <v>1558</v>
      </c>
      <c r="E312" s="211">
        <v>51021</v>
      </c>
      <c r="F312" s="211">
        <v>50000</v>
      </c>
      <c r="G312" s="211">
        <v>56800</v>
      </c>
      <c r="H312" s="210">
        <v>50000</v>
      </c>
      <c r="I312" s="211">
        <v>50000</v>
      </c>
      <c r="J312" s="211">
        <v>50000</v>
      </c>
    </row>
    <row r="313" spans="1:10" x14ac:dyDescent="0.2">
      <c r="A313" s="137" t="s">
        <v>1461</v>
      </c>
      <c r="B313" s="137"/>
      <c r="C313" s="137"/>
      <c r="D313" s="137"/>
      <c r="E313" s="138">
        <f t="shared" ref="E313:J313" si="49">SUM(E308:E312)</f>
        <v>228902</v>
      </c>
      <c r="F313" s="138">
        <f t="shared" si="49"/>
        <v>377000</v>
      </c>
      <c r="G313" s="138">
        <f t="shared" si="49"/>
        <v>309000</v>
      </c>
      <c r="H313" s="138">
        <f t="shared" si="49"/>
        <v>377000</v>
      </c>
      <c r="I313" s="138">
        <f t="shared" si="49"/>
        <v>377000</v>
      </c>
      <c r="J313" s="138">
        <f t="shared" si="49"/>
        <v>377000</v>
      </c>
    </row>
    <row r="314" spans="1:10" ht="6" customHeight="1" x14ac:dyDescent="0.2">
      <c r="A314" s="129"/>
      <c r="B314" s="129"/>
      <c r="C314" s="129"/>
      <c r="D314" s="129"/>
      <c r="E314" s="129"/>
      <c r="F314" s="129"/>
      <c r="G314" s="129"/>
      <c r="H314" s="129"/>
      <c r="I314" s="129"/>
      <c r="J314" s="129"/>
    </row>
    <row r="315" spans="1:10" x14ac:dyDescent="0.2">
      <c r="A315" s="128" t="s">
        <v>284</v>
      </c>
      <c r="B315" s="128"/>
      <c r="C315" s="128"/>
      <c r="D315" s="128"/>
      <c r="E315" s="128"/>
      <c r="F315" s="128"/>
      <c r="G315" s="128"/>
      <c r="H315" s="128"/>
      <c r="I315" s="128"/>
      <c r="J315" s="128"/>
    </row>
    <row r="316" spans="1:10" ht="33.75" x14ac:dyDescent="0.2">
      <c r="A316" s="152" t="s">
        <v>243</v>
      </c>
      <c r="B316" s="151" t="s">
        <v>242</v>
      </c>
      <c r="C316" s="151"/>
      <c r="D316" s="151"/>
      <c r="E316" s="132" t="str">
        <f t="shared" ref="E316:J316" si="50">E25</f>
        <v>Actuals           2014-2015</v>
      </c>
      <c r="F316" s="132" t="str">
        <f t="shared" si="50"/>
        <v>Approved Estimates          2015-2016</v>
      </c>
      <c r="G316" s="132" t="str">
        <f t="shared" si="50"/>
        <v>Revised Estimates                 2015-2016</v>
      </c>
      <c r="H316" s="132" t="str">
        <f t="shared" si="50"/>
        <v>Budget Estimates      2016-2017</v>
      </c>
      <c r="I316" s="132" t="str">
        <f t="shared" si="50"/>
        <v>Forward Estimates     2017-2018</v>
      </c>
      <c r="J316" s="132" t="str">
        <f t="shared" si="50"/>
        <v>Forward Estimates     2018-2019</v>
      </c>
    </row>
    <row r="317" spans="1:10" ht="12.6" customHeight="1" x14ac:dyDescent="0.2">
      <c r="A317" s="151" t="s">
        <v>7</v>
      </c>
      <c r="B317" s="151"/>
      <c r="C317" s="151"/>
      <c r="D317" s="151"/>
      <c r="E317" s="151"/>
      <c r="F317" s="151"/>
      <c r="G317" s="151"/>
      <c r="H317" s="151"/>
      <c r="I317" s="151"/>
      <c r="J317" s="190"/>
    </row>
    <row r="318" spans="1:10" x14ac:dyDescent="0.2">
      <c r="A318" s="207">
        <v>210</v>
      </c>
      <c r="B318" s="129" t="s">
        <v>7</v>
      </c>
      <c r="C318" s="129"/>
      <c r="D318" s="129"/>
      <c r="E318" s="211">
        <v>1117831.94</v>
      </c>
      <c r="F318" s="209">
        <v>1297900</v>
      </c>
      <c r="G318" s="211">
        <v>1196300</v>
      </c>
      <c r="H318" s="210">
        <v>1308100</v>
      </c>
      <c r="I318" s="211">
        <v>1346700</v>
      </c>
      <c r="J318" s="211">
        <v>1374600</v>
      </c>
    </row>
    <row r="319" spans="1:10" x14ac:dyDescent="0.2">
      <c r="A319" s="207">
        <v>212</v>
      </c>
      <c r="B319" s="129" t="s">
        <v>9</v>
      </c>
      <c r="C319" s="129"/>
      <c r="D319" s="129"/>
      <c r="E319" s="211">
        <v>0</v>
      </c>
      <c r="F319" s="209">
        <v>0</v>
      </c>
      <c r="G319" s="211">
        <v>0</v>
      </c>
      <c r="H319" s="210">
        <v>0</v>
      </c>
      <c r="I319" s="211">
        <v>0</v>
      </c>
      <c r="J319" s="211">
        <v>0</v>
      </c>
    </row>
    <row r="320" spans="1:10" x14ac:dyDescent="0.2">
      <c r="A320" s="207">
        <v>216</v>
      </c>
      <c r="B320" s="129" t="s">
        <v>10</v>
      </c>
      <c r="C320" s="129"/>
      <c r="D320" s="129"/>
      <c r="E320" s="211">
        <v>71401.33</v>
      </c>
      <c r="F320" s="209">
        <v>68800</v>
      </c>
      <c r="G320" s="211">
        <v>68800</v>
      </c>
      <c r="H320" s="210">
        <v>69700</v>
      </c>
      <c r="I320" s="211">
        <v>69700</v>
      </c>
      <c r="J320" s="211">
        <v>69700</v>
      </c>
    </row>
    <row r="321" spans="1:10" x14ac:dyDescent="0.2">
      <c r="A321" s="207">
        <v>218</v>
      </c>
      <c r="B321" s="129" t="s">
        <v>294</v>
      </c>
      <c r="C321" s="129"/>
      <c r="D321" s="129"/>
      <c r="E321" s="211">
        <v>24000</v>
      </c>
      <c r="F321" s="209">
        <v>12000</v>
      </c>
      <c r="G321" s="211">
        <v>12000</v>
      </c>
      <c r="H321" s="210">
        <v>12000</v>
      </c>
      <c r="I321" s="211">
        <v>12000</v>
      </c>
      <c r="J321" s="211">
        <v>12000</v>
      </c>
    </row>
    <row r="322" spans="1:10" x14ac:dyDescent="0.2">
      <c r="A322" s="156" t="s">
        <v>295</v>
      </c>
      <c r="B322" s="156"/>
      <c r="C322" s="156"/>
      <c r="D322" s="156"/>
      <c r="E322" s="157">
        <f t="shared" ref="E322:J322" si="51">SUM(E318:E321)</f>
        <v>1213233.27</v>
      </c>
      <c r="F322" s="157">
        <f t="shared" si="51"/>
        <v>1378700</v>
      </c>
      <c r="G322" s="157">
        <f t="shared" si="51"/>
        <v>1277100</v>
      </c>
      <c r="H322" s="157">
        <f t="shared" si="51"/>
        <v>1389800</v>
      </c>
      <c r="I322" s="157">
        <f t="shared" si="51"/>
        <v>1428400</v>
      </c>
      <c r="J322" s="157">
        <f t="shared" si="51"/>
        <v>1456300</v>
      </c>
    </row>
    <row r="323" spans="1:10" ht="12" customHeight="1" x14ac:dyDescent="0.2">
      <c r="A323" s="156" t="s">
        <v>296</v>
      </c>
      <c r="B323" s="156"/>
      <c r="C323" s="156"/>
      <c r="D323" s="156"/>
      <c r="E323" s="156"/>
      <c r="F323" s="156"/>
      <c r="G323" s="156"/>
      <c r="H323" s="156"/>
      <c r="I323" s="156"/>
      <c r="J323" s="190"/>
    </row>
    <row r="324" spans="1:10" ht="11.45" customHeight="1" x14ac:dyDescent="0.2">
      <c r="A324" s="207">
        <v>224</v>
      </c>
      <c r="B324" s="129" t="s">
        <v>206</v>
      </c>
      <c r="C324" s="129"/>
      <c r="D324" s="129"/>
      <c r="E324" s="211">
        <v>129867.75</v>
      </c>
      <c r="F324" s="209">
        <v>130000</v>
      </c>
      <c r="G324" s="211">
        <v>130000</v>
      </c>
      <c r="H324" s="210">
        <v>130000</v>
      </c>
      <c r="I324" s="211">
        <v>130000</v>
      </c>
      <c r="J324" s="211">
        <v>130000</v>
      </c>
    </row>
    <row r="325" spans="1:10" ht="11.45" customHeight="1" x14ac:dyDescent="0.2">
      <c r="A325" s="207">
        <v>226</v>
      </c>
      <c r="B325" s="129" t="s">
        <v>207</v>
      </c>
      <c r="C325" s="129"/>
      <c r="D325" s="129"/>
      <c r="E325" s="211">
        <v>9479.93</v>
      </c>
      <c r="F325" s="209">
        <v>10000</v>
      </c>
      <c r="G325" s="211">
        <v>10000</v>
      </c>
      <c r="H325" s="210">
        <v>10000</v>
      </c>
      <c r="I325" s="211">
        <v>10000</v>
      </c>
      <c r="J325" s="211">
        <v>10000</v>
      </c>
    </row>
    <row r="326" spans="1:10" ht="11.45" customHeight="1" x14ac:dyDescent="0.2">
      <c r="A326" s="207">
        <v>228</v>
      </c>
      <c r="B326" s="129" t="s">
        <v>208</v>
      </c>
      <c r="C326" s="129"/>
      <c r="D326" s="129"/>
      <c r="E326" s="211">
        <v>14495.61</v>
      </c>
      <c r="F326" s="209">
        <v>15000</v>
      </c>
      <c r="G326" s="211">
        <v>15000</v>
      </c>
      <c r="H326" s="210">
        <v>15000</v>
      </c>
      <c r="I326" s="209">
        <v>15000</v>
      </c>
      <c r="J326" s="211">
        <v>15000</v>
      </c>
    </row>
    <row r="327" spans="1:10" ht="11.45" customHeight="1" x14ac:dyDescent="0.2">
      <c r="A327" s="207">
        <v>230</v>
      </c>
      <c r="B327" s="129" t="s">
        <v>210</v>
      </c>
      <c r="C327" s="129"/>
      <c r="D327" s="129"/>
      <c r="E327" s="211">
        <v>22875.37</v>
      </c>
      <c r="F327" s="209">
        <v>19000</v>
      </c>
      <c r="G327" s="211">
        <v>44000</v>
      </c>
      <c r="H327" s="210">
        <v>19000</v>
      </c>
      <c r="I327" s="211">
        <v>19000</v>
      </c>
      <c r="J327" s="211">
        <v>19000</v>
      </c>
    </row>
    <row r="328" spans="1:10" ht="11.45" customHeight="1" x14ac:dyDescent="0.2">
      <c r="A328" s="207">
        <v>232</v>
      </c>
      <c r="B328" s="129" t="s">
        <v>211</v>
      </c>
      <c r="C328" s="129"/>
      <c r="D328" s="129"/>
      <c r="E328" s="211">
        <v>163701.09</v>
      </c>
      <c r="F328" s="209">
        <v>175000</v>
      </c>
      <c r="G328" s="211">
        <v>175000</v>
      </c>
      <c r="H328" s="210">
        <v>175000</v>
      </c>
      <c r="I328" s="209">
        <v>175000</v>
      </c>
      <c r="J328" s="211">
        <v>175000</v>
      </c>
    </row>
    <row r="329" spans="1:10" ht="11.45" customHeight="1" x14ac:dyDescent="0.2">
      <c r="A329" s="207">
        <v>238</v>
      </c>
      <c r="B329" s="129" t="s">
        <v>214</v>
      </c>
      <c r="C329" s="129"/>
      <c r="D329" s="129"/>
      <c r="E329" s="211">
        <v>94733.45</v>
      </c>
      <c r="F329" s="209">
        <v>110000</v>
      </c>
      <c r="G329" s="211">
        <v>102000</v>
      </c>
      <c r="H329" s="210">
        <v>110000</v>
      </c>
      <c r="I329" s="211">
        <v>110000</v>
      </c>
      <c r="J329" s="211">
        <v>110000</v>
      </c>
    </row>
    <row r="330" spans="1:10" ht="11.45" customHeight="1" x14ac:dyDescent="0.2">
      <c r="A330" s="207">
        <v>246</v>
      </c>
      <c r="B330" s="129" t="s">
        <v>218</v>
      </c>
      <c r="C330" s="129"/>
      <c r="D330" s="129"/>
      <c r="E330" s="211">
        <v>3908.35</v>
      </c>
      <c r="F330" s="209">
        <v>4000</v>
      </c>
      <c r="G330" s="211">
        <v>4000</v>
      </c>
      <c r="H330" s="210">
        <v>4000</v>
      </c>
      <c r="I330" s="211">
        <v>4000</v>
      </c>
      <c r="J330" s="211">
        <v>4000</v>
      </c>
    </row>
    <row r="331" spans="1:10" ht="11.45" customHeight="1" x14ac:dyDescent="0.2">
      <c r="A331" s="207">
        <v>260</v>
      </c>
      <c r="B331" s="129" t="s">
        <v>220</v>
      </c>
      <c r="C331" s="129"/>
      <c r="D331" s="129"/>
      <c r="E331" s="211">
        <v>786909.02</v>
      </c>
      <c r="F331" s="209">
        <v>282000</v>
      </c>
      <c r="G331" s="211">
        <v>282000</v>
      </c>
      <c r="H331" s="210">
        <v>282000</v>
      </c>
      <c r="I331" s="211">
        <v>282000</v>
      </c>
      <c r="J331" s="211">
        <v>282000</v>
      </c>
    </row>
    <row r="332" spans="1:10" ht="11.45" customHeight="1" x14ac:dyDescent="0.2">
      <c r="A332" s="207">
        <v>275</v>
      </c>
      <c r="B332" s="129" t="s">
        <v>228</v>
      </c>
      <c r="C332" s="129"/>
      <c r="D332" s="129"/>
      <c r="E332" s="211">
        <v>2489</v>
      </c>
      <c r="F332" s="209">
        <v>2500</v>
      </c>
      <c r="G332" s="211">
        <v>2500</v>
      </c>
      <c r="H332" s="210">
        <v>2500</v>
      </c>
      <c r="I332" s="211">
        <v>2500</v>
      </c>
      <c r="J332" s="211">
        <v>2500</v>
      </c>
    </row>
    <row r="333" spans="1:10" x14ac:dyDescent="0.2">
      <c r="A333" s="156" t="s">
        <v>298</v>
      </c>
      <c r="B333" s="156"/>
      <c r="C333" s="156"/>
      <c r="D333" s="156"/>
      <c r="E333" s="157">
        <f t="shared" ref="E333:J333" si="52">SUM(E324:E332)</f>
        <v>1228459.57</v>
      </c>
      <c r="F333" s="264">
        <f t="shared" si="52"/>
        <v>747500</v>
      </c>
      <c r="G333" s="157">
        <f t="shared" si="52"/>
        <v>764500</v>
      </c>
      <c r="H333" s="157">
        <f>SUM(H324:H332)</f>
        <v>747500</v>
      </c>
      <c r="I333" s="157">
        <f t="shared" si="52"/>
        <v>747500</v>
      </c>
      <c r="J333" s="157">
        <f t="shared" si="52"/>
        <v>747500</v>
      </c>
    </row>
    <row r="334" spans="1:10" x14ac:dyDescent="0.2">
      <c r="A334" s="159" t="s">
        <v>299</v>
      </c>
      <c r="B334" s="159"/>
      <c r="C334" s="159"/>
      <c r="D334" s="159"/>
      <c r="E334" s="160">
        <f t="shared" ref="E334:J334" si="53">SUM(E322,E333)</f>
        <v>2441692.84</v>
      </c>
      <c r="F334" s="160">
        <f t="shared" si="53"/>
        <v>2126200</v>
      </c>
      <c r="G334" s="160">
        <f t="shared" si="53"/>
        <v>2041600</v>
      </c>
      <c r="H334" s="160">
        <f t="shared" si="53"/>
        <v>2137300</v>
      </c>
      <c r="I334" s="160">
        <f t="shared" si="53"/>
        <v>2175900</v>
      </c>
      <c r="J334" s="160">
        <f t="shared" si="53"/>
        <v>2203800</v>
      </c>
    </row>
    <row r="335" spans="1:10" ht="11.45" customHeight="1" x14ac:dyDescent="0.2">
      <c r="A335" s="162" t="s">
        <v>15</v>
      </c>
      <c r="B335" s="162"/>
      <c r="C335" s="162"/>
      <c r="D335" s="162"/>
      <c r="E335" s="162"/>
      <c r="F335" s="162"/>
      <c r="G335" s="162"/>
      <c r="H335" s="162"/>
      <c r="I335" s="162"/>
      <c r="J335" s="162"/>
    </row>
    <row r="336" spans="1:10" ht="17.25" customHeight="1" x14ac:dyDescent="0.2">
      <c r="A336" s="131" t="s">
        <v>242</v>
      </c>
      <c r="B336" s="131"/>
      <c r="C336" s="131"/>
      <c r="D336" s="131"/>
      <c r="E336" s="128" t="str">
        <f t="shared" ref="E336:J336" si="54">E25</f>
        <v>Actuals           2014-2015</v>
      </c>
      <c r="F336" s="128" t="str">
        <f t="shared" si="54"/>
        <v>Approved Estimates          2015-2016</v>
      </c>
      <c r="G336" s="128" t="str">
        <f t="shared" si="54"/>
        <v>Revised Estimates                 2015-2016</v>
      </c>
      <c r="H336" s="128" t="str">
        <f t="shared" si="54"/>
        <v>Budget Estimates      2016-2017</v>
      </c>
      <c r="I336" s="128" t="str">
        <f t="shared" si="54"/>
        <v>Forward Estimates     2017-2018</v>
      </c>
      <c r="J336" s="128" t="str">
        <f t="shared" si="54"/>
        <v>Forward Estimates     2018-2019</v>
      </c>
    </row>
    <row r="337" spans="1:10" ht="15.75" customHeight="1" x14ac:dyDescent="0.2">
      <c r="A337" s="130" t="s">
        <v>243</v>
      </c>
      <c r="B337" s="130" t="s">
        <v>244</v>
      </c>
      <c r="C337" s="131" t="s">
        <v>245</v>
      </c>
      <c r="D337" s="131"/>
      <c r="E337" s="101"/>
      <c r="F337" s="101"/>
      <c r="G337" s="101"/>
      <c r="H337" s="101"/>
      <c r="I337" s="101"/>
      <c r="J337" s="101"/>
    </row>
    <row r="338" spans="1:10" x14ac:dyDescent="0.2">
      <c r="A338" s="163"/>
      <c r="B338" s="163"/>
      <c r="C338" s="156"/>
      <c r="D338" s="156"/>
      <c r="E338" s="158"/>
      <c r="F338" s="209"/>
      <c r="G338" s="158"/>
      <c r="H338" s="136"/>
      <c r="I338" s="158"/>
      <c r="J338" s="135"/>
    </row>
    <row r="339" spans="1:10" x14ac:dyDescent="0.2">
      <c r="A339" s="163"/>
      <c r="B339" s="163"/>
      <c r="C339" s="156"/>
      <c r="D339" s="156"/>
      <c r="E339" s="158"/>
      <c r="F339" s="209"/>
      <c r="G339" s="158"/>
      <c r="H339" s="136"/>
      <c r="I339" s="158"/>
      <c r="J339" s="135"/>
    </row>
    <row r="340" spans="1:10" x14ac:dyDescent="0.2">
      <c r="A340" s="137" t="s">
        <v>15</v>
      </c>
      <c r="B340" s="137"/>
      <c r="C340" s="137"/>
      <c r="D340" s="137"/>
      <c r="E340" s="138">
        <v>0</v>
      </c>
      <c r="F340" s="138">
        <v>0</v>
      </c>
      <c r="G340" s="138">
        <v>0</v>
      </c>
      <c r="H340" s="138">
        <v>0</v>
      </c>
      <c r="I340" s="138">
        <v>0</v>
      </c>
      <c r="J340" s="138">
        <v>0</v>
      </c>
    </row>
    <row r="341" spans="1:10" ht="7.5" customHeight="1" x14ac:dyDescent="0.2">
      <c r="A341" s="290"/>
      <c r="B341" s="290"/>
      <c r="C341" s="290"/>
      <c r="D341" s="290"/>
      <c r="E341" s="290"/>
      <c r="F341" s="290"/>
      <c r="G341" s="290"/>
      <c r="H341" s="290"/>
      <c r="I341" s="290"/>
      <c r="J341" s="290"/>
    </row>
    <row r="342" spans="1:10" ht="10.9" customHeight="1" x14ac:dyDescent="0.2">
      <c r="A342" s="161" t="s">
        <v>288</v>
      </c>
      <c r="B342" s="161"/>
      <c r="C342" s="161"/>
      <c r="D342" s="161"/>
      <c r="E342" s="161"/>
      <c r="F342" s="161"/>
      <c r="G342" s="161"/>
      <c r="H342" s="161"/>
      <c r="I342" s="161"/>
      <c r="J342" s="161"/>
    </row>
    <row r="343" spans="1:10" x14ac:dyDescent="0.2">
      <c r="A343" s="131" t="s">
        <v>300</v>
      </c>
      <c r="B343" s="131"/>
      <c r="C343" s="131"/>
      <c r="D343" s="132" t="s">
        <v>301</v>
      </c>
      <c r="E343" s="132" t="s">
        <v>302</v>
      </c>
      <c r="F343" s="131" t="s">
        <v>300</v>
      </c>
      <c r="G343" s="131"/>
      <c r="H343" s="131"/>
      <c r="I343" s="132" t="s">
        <v>301</v>
      </c>
      <c r="J343" s="132" t="s">
        <v>302</v>
      </c>
    </row>
    <row r="344" spans="1:10" ht="13.15" customHeight="1" x14ac:dyDescent="0.2">
      <c r="A344" s="134" t="str">
        <f>Establishment!D477</f>
        <v>Airport Manager</v>
      </c>
      <c r="B344" s="134"/>
      <c r="C344" s="134"/>
      <c r="D344" s="133" t="str">
        <f>Establishment!E477</f>
        <v>R12-8</v>
      </c>
      <c r="E344" s="133">
        <f>Establishment!C477</f>
        <v>1</v>
      </c>
      <c r="F344" s="134" t="str">
        <f>Establishment!D484</f>
        <v>Security Officer (Supervisor)</v>
      </c>
      <c r="G344" s="134"/>
      <c r="H344" s="134"/>
      <c r="I344" s="133" t="str">
        <f>Establishment!E484</f>
        <v>R33-29</v>
      </c>
      <c r="J344" s="133">
        <f>Establishment!C484</f>
        <v>3</v>
      </c>
    </row>
    <row r="345" spans="1:10" ht="13.15" customHeight="1" x14ac:dyDescent="0.2">
      <c r="A345" s="134" t="str">
        <f>Establishment!D478</f>
        <v>Operations Manager</v>
      </c>
      <c r="B345" s="134"/>
      <c r="C345" s="134"/>
      <c r="D345" s="133" t="str">
        <f>Establishment!E478</f>
        <v>R14-10</v>
      </c>
      <c r="E345" s="133">
        <f>Establishment!C478</f>
        <v>1</v>
      </c>
      <c r="F345" s="134" t="str">
        <f>Establishment!D485</f>
        <v>Security Officer</v>
      </c>
      <c r="G345" s="134"/>
      <c r="H345" s="134"/>
      <c r="I345" s="133" t="str">
        <f>Establishment!E485</f>
        <v>R39-32</v>
      </c>
      <c r="J345" s="133">
        <f>Establishment!C485</f>
        <v>12</v>
      </c>
    </row>
    <row r="346" spans="1:10" ht="13.15" customHeight="1" x14ac:dyDescent="0.2">
      <c r="A346" s="134" t="str">
        <f>Establishment!D479</f>
        <v>Senior Air Traffic Controller</v>
      </c>
      <c r="B346" s="134"/>
      <c r="C346" s="134"/>
      <c r="D346" s="133" t="str">
        <f>Establishment!E479</f>
        <v>R17-13</v>
      </c>
      <c r="E346" s="133">
        <f>Establishment!C479</f>
        <v>1</v>
      </c>
      <c r="F346" s="134" t="str">
        <f>Establishment!D486</f>
        <v>Maintenance Handyman</v>
      </c>
      <c r="G346" s="134"/>
      <c r="H346" s="134"/>
      <c r="I346" s="133" t="str">
        <f>Establishment!E486</f>
        <v>R42-36</v>
      </c>
      <c r="J346" s="133">
        <f>Establishment!C486</f>
        <v>2</v>
      </c>
    </row>
    <row r="347" spans="1:10" ht="13.15" customHeight="1" x14ac:dyDescent="0.2">
      <c r="A347" s="134" t="str">
        <f>Establishment!D480</f>
        <v>Air Traffic Shift Supervisor</v>
      </c>
      <c r="B347" s="134"/>
      <c r="C347" s="134"/>
      <c r="D347" s="133" t="str">
        <f>Establishment!E480</f>
        <v>R22-18</v>
      </c>
      <c r="E347" s="133">
        <f>Establishment!C480</f>
        <v>3</v>
      </c>
      <c r="F347" s="134" t="str">
        <f>Establishment!D487</f>
        <v>Night Security Officer</v>
      </c>
      <c r="G347" s="134"/>
      <c r="H347" s="134"/>
      <c r="I347" s="133" t="str">
        <f>Establishment!E487</f>
        <v>R33-29</v>
      </c>
      <c r="J347" s="133">
        <f>Establishment!C487</f>
        <v>2</v>
      </c>
    </row>
    <row r="348" spans="1:10" ht="13.15" customHeight="1" x14ac:dyDescent="0.2">
      <c r="A348" s="134" t="str">
        <f>Establishment!D481</f>
        <v>Air Traffic Controller</v>
      </c>
      <c r="B348" s="134"/>
      <c r="C348" s="134"/>
      <c r="D348" s="133" t="str">
        <f>Establishment!E481</f>
        <v>R28-20</v>
      </c>
      <c r="E348" s="133">
        <f>Establishment!C481</f>
        <v>3</v>
      </c>
      <c r="F348" s="134" t="str">
        <f>Establishment!D488</f>
        <v>Sub Night Security Officer</v>
      </c>
      <c r="G348" s="134"/>
      <c r="H348" s="134"/>
      <c r="I348" s="133" t="str">
        <f>Establishment!E488</f>
        <v>R33-29</v>
      </c>
      <c r="J348" s="133">
        <f>Establishment!C488</f>
        <v>1</v>
      </c>
    </row>
    <row r="349" spans="1:10" ht="13.15" customHeight="1" x14ac:dyDescent="0.2">
      <c r="A349" s="134" t="str">
        <f>Establishment!D482</f>
        <v>Air Traffic Controller/Trainee</v>
      </c>
      <c r="B349" s="134"/>
      <c r="C349" s="134"/>
      <c r="D349" s="133" t="str">
        <f>Establishment!E482</f>
        <v>R39-32</v>
      </c>
      <c r="E349" s="133">
        <f>Establishment!C482</f>
        <v>2</v>
      </c>
      <c r="F349" s="134" t="str">
        <f>Establishment!D489</f>
        <v>Clerical Officer (Snr)</v>
      </c>
      <c r="G349" s="134"/>
      <c r="H349" s="134"/>
      <c r="I349" s="133" t="str">
        <f>Establishment!E489</f>
        <v>R33-29</v>
      </c>
      <c r="J349" s="133">
        <f>Establishment!C489</f>
        <v>1</v>
      </c>
    </row>
    <row r="350" spans="1:10" ht="13.15" customHeight="1" x14ac:dyDescent="0.2">
      <c r="A350" s="134" t="str">
        <f>Establishment!D483</f>
        <v>Security Officer (Chief)</v>
      </c>
      <c r="B350" s="134"/>
      <c r="C350" s="134"/>
      <c r="D350" s="133" t="str">
        <f>Establishment!E483</f>
        <v>R28-22</v>
      </c>
      <c r="E350" s="133">
        <f>Establishment!C483</f>
        <v>1</v>
      </c>
      <c r="F350" s="134"/>
      <c r="G350" s="134"/>
      <c r="H350" s="134"/>
      <c r="I350" s="133"/>
      <c r="J350" s="133"/>
    </row>
    <row r="351" spans="1:10" x14ac:dyDescent="0.2">
      <c r="A351" s="203" t="s">
        <v>303</v>
      </c>
      <c r="B351" s="203"/>
      <c r="C351" s="203"/>
      <c r="D351" s="203"/>
      <c r="E351" s="203"/>
      <c r="F351" s="203"/>
      <c r="G351" s="203"/>
      <c r="H351" s="203"/>
      <c r="I351" s="203"/>
      <c r="J351" s="204">
        <f>SUM(E344:E350,J344:J350)</f>
        <v>33</v>
      </c>
    </row>
    <row r="352" spans="1:10" x14ac:dyDescent="0.2">
      <c r="A352" s="129"/>
      <c r="B352" s="129"/>
      <c r="C352" s="129"/>
      <c r="D352" s="129"/>
      <c r="E352" s="129"/>
      <c r="F352" s="129"/>
      <c r="G352" s="129"/>
      <c r="H352" s="129"/>
      <c r="I352" s="129"/>
      <c r="J352" s="129"/>
    </row>
    <row r="353" spans="1:10" x14ac:dyDescent="0.2">
      <c r="A353" s="180" t="s">
        <v>304</v>
      </c>
      <c r="B353" s="180"/>
      <c r="C353" s="180"/>
      <c r="D353" s="180"/>
      <c r="E353" s="180"/>
      <c r="F353" s="180"/>
      <c r="G353" s="180"/>
      <c r="H353" s="180"/>
      <c r="I353" s="180"/>
      <c r="J353" s="180"/>
    </row>
    <row r="354" spans="1:10" ht="14.25" customHeight="1" x14ac:dyDescent="0.2">
      <c r="A354" s="181" t="s">
        <v>305</v>
      </c>
      <c r="B354" s="181"/>
      <c r="C354" s="181"/>
      <c r="D354" s="181"/>
      <c r="E354" s="181"/>
      <c r="F354" s="181"/>
      <c r="G354" s="181"/>
      <c r="H354" s="181"/>
      <c r="I354" s="181"/>
      <c r="J354" s="181"/>
    </row>
    <row r="355" spans="1:10" x14ac:dyDescent="0.2">
      <c r="A355" s="129" t="s">
        <v>1559</v>
      </c>
      <c r="B355" s="129"/>
      <c r="C355" s="129"/>
      <c r="D355" s="129"/>
      <c r="E355" s="129"/>
      <c r="F355" s="129"/>
      <c r="G355" s="129"/>
      <c r="H355" s="129"/>
      <c r="I355" s="129"/>
      <c r="J355" s="129"/>
    </row>
    <row r="356" spans="1:10" ht="24" customHeight="1" x14ac:dyDescent="0.2">
      <c r="A356" s="129" t="s">
        <v>1560</v>
      </c>
      <c r="B356" s="129"/>
      <c r="C356" s="129"/>
      <c r="D356" s="129"/>
      <c r="E356" s="129"/>
      <c r="F356" s="129"/>
      <c r="G356" s="129"/>
      <c r="H356" s="129"/>
      <c r="I356" s="129"/>
      <c r="J356" s="129"/>
    </row>
    <row r="357" spans="1:10" ht="24" customHeight="1" x14ac:dyDescent="0.2">
      <c r="A357" s="129" t="s">
        <v>1561</v>
      </c>
      <c r="B357" s="129"/>
      <c r="C357" s="129"/>
      <c r="D357" s="129"/>
      <c r="E357" s="129"/>
      <c r="F357" s="129"/>
      <c r="G357" s="129"/>
      <c r="H357" s="129"/>
      <c r="I357" s="129"/>
      <c r="J357" s="129"/>
    </row>
    <row r="358" spans="1:10" ht="24" customHeight="1" x14ac:dyDescent="0.2">
      <c r="A358" s="129" t="s">
        <v>1562</v>
      </c>
      <c r="B358" s="129"/>
      <c r="C358" s="129"/>
      <c r="D358" s="129"/>
      <c r="E358" s="129"/>
      <c r="F358" s="129"/>
      <c r="G358" s="129"/>
      <c r="H358" s="129"/>
      <c r="I358" s="129"/>
      <c r="J358" s="129"/>
    </row>
    <row r="359" spans="1:10" x14ac:dyDescent="0.2">
      <c r="A359" s="129" t="s">
        <v>1563</v>
      </c>
      <c r="B359" s="129"/>
      <c r="C359" s="129"/>
      <c r="D359" s="129"/>
      <c r="E359" s="129"/>
      <c r="F359" s="129"/>
      <c r="G359" s="129"/>
      <c r="H359" s="129"/>
      <c r="I359" s="129"/>
      <c r="J359" s="129"/>
    </row>
    <row r="360" spans="1:10" x14ac:dyDescent="0.2">
      <c r="A360" s="129"/>
      <c r="B360" s="129"/>
      <c r="C360" s="129"/>
      <c r="D360" s="129"/>
      <c r="E360" s="129"/>
      <c r="F360" s="129"/>
      <c r="G360" s="129"/>
      <c r="H360" s="129"/>
      <c r="I360" s="129"/>
      <c r="J360" s="129"/>
    </row>
    <row r="361" spans="1:10" x14ac:dyDescent="0.2">
      <c r="A361" s="183" t="s">
        <v>415</v>
      </c>
      <c r="B361" s="183"/>
      <c r="C361" s="183"/>
      <c r="D361" s="183"/>
      <c r="E361" s="183"/>
      <c r="F361" s="183"/>
      <c r="G361" s="183"/>
      <c r="H361" s="183"/>
      <c r="I361" s="183"/>
      <c r="J361" s="183"/>
    </row>
    <row r="362" spans="1:10" ht="33.75" customHeight="1" x14ac:dyDescent="0.2">
      <c r="A362" s="129" t="s">
        <v>1564</v>
      </c>
      <c r="B362" s="129"/>
      <c r="C362" s="129"/>
      <c r="D362" s="129"/>
      <c r="E362" s="129"/>
      <c r="F362" s="129"/>
      <c r="G362" s="129"/>
      <c r="H362" s="129"/>
      <c r="I362" s="129"/>
      <c r="J362" s="129"/>
    </row>
    <row r="363" spans="1:10" x14ac:dyDescent="0.2">
      <c r="A363" s="129" t="s">
        <v>1565</v>
      </c>
      <c r="B363" s="129"/>
      <c r="C363" s="129"/>
      <c r="D363" s="129"/>
      <c r="E363" s="129"/>
      <c r="F363" s="129"/>
      <c r="G363" s="129"/>
      <c r="H363" s="129"/>
      <c r="I363" s="129"/>
      <c r="J363" s="129"/>
    </row>
    <row r="364" spans="1:10" ht="33.75" customHeight="1" x14ac:dyDescent="0.2">
      <c r="A364" s="129" t="s">
        <v>1566</v>
      </c>
      <c r="B364" s="129"/>
      <c r="C364" s="129"/>
      <c r="D364" s="129"/>
      <c r="E364" s="129"/>
      <c r="F364" s="129"/>
      <c r="G364" s="129"/>
      <c r="H364" s="129"/>
      <c r="I364" s="129"/>
      <c r="J364" s="129"/>
    </row>
    <row r="365" spans="1:10" x14ac:dyDescent="0.2">
      <c r="A365" s="129"/>
      <c r="B365" s="129"/>
      <c r="C365" s="129"/>
      <c r="D365" s="129"/>
      <c r="E365" s="129"/>
      <c r="F365" s="129"/>
      <c r="G365" s="129"/>
      <c r="H365" s="129"/>
      <c r="I365" s="129"/>
      <c r="J365" s="129"/>
    </row>
    <row r="366" spans="1:10" ht="22.5" x14ac:dyDescent="0.2">
      <c r="A366" s="180" t="s">
        <v>315</v>
      </c>
      <c r="B366" s="180"/>
      <c r="C366" s="180"/>
      <c r="D366" s="180"/>
      <c r="E366" s="180"/>
      <c r="F366" s="184" t="str">
        <f>F157</f>
        <v xml:space="preserve"> Actual 2014-2015</v>
      </c>
      <c r="G366" s="184" t="str">
        <f>G157</f>
        <v xml:space="preserve"> Estimate 2015-2016</v>
      </c>
      <c r="H366" s="184" t="str">
        <f>H157</f>
        <v xml:space="preserve"> Target 2016-2017</v>
      </c>
      <c r="I366" s="184" t="str">
        <f>I157</f>
        <v xml:space="preserve"> Target 2017-2018</v>
      </c>
      <c r="J366" s="184" t="str">
        <f>J157</f>
        <v xml:space="preserve"> Target 2018-2019</v>
      </c>
    </row>
    <row r="367" spans="1:10" x14ac:dyDescent="0.2">
      <c r="A367" s="180" t="s">
        <v>316</v>
      </c>
      <c r="B367" s="180"/>
      <c r="C367" s="180"/>
      <c r="D367" s="180"/>
      <c r="E367" s="180"/>
      <c r="F367" s="180"/>
      <c r="G367" s="180"/>
      <c r="H367" s="180"/>
      <c r="I367" s="180"/>
      <c r="J367" s="180"/>
    </row>
    <row r="368" spans="1:10" x14ac:dyDescent="0.2">
      <c r="A368" s="188" t="s">
        <v>1567</v>
      </c>
      <c r="B368" s="188"/>
      <c r="C368" s="188"/>
      <c r="D368" s="188"/>
      <c r="E368" s="188"/>
      <c r="F368" s="490">
        <v>9343</v>
      </c>
      <c r="G368" s="491">
        <v>10000</v>
      </c>
      <c r="H368" s="491">
        <v>11000</v>
      </c>
      <c r="I368" s="491">
        <v>12000</v>
      </c>
      <c r="J368" s="491">
        <v>13000</v>
      </c>
    </row>
    <row r="369" spans="1:10" x14ac:dyDescent="0.2">
      <c r="A369" s="188" t="s">
        <v>1568</v>
      </c>
      <c r="B369" s="188"/>
      <c r="C369" s="188"/>
      <c r="D369" s="188"/>
      <c r="E369" s="188"/>
      <c r="F369" s="490">
        <v>22920</v>
      </c>
      <c r="G369" s="491">
        <v>23000</v>
      </c>
      <c r="H369" s="491">
        <v>23500</v>
      </c>
      <c r="I369" s="491">
        <v>24000</v>
      </c>
      <c r="J369" s="491">
        <v>24500</v>
      </c>
    </row>
    <row r="370" spans="1:10" x14ac:dyDescent="0.2">
      <c r="A370" s="188"/>
      <c r="B370" s="188"/>
      <c r="C370" s="188"/>
      <c r="D370" s="188"/>
      <c r="E370" s="188"/>
      <c r="F370" s="273"/>
      <c r="G370" s="190"/>
      <c r="H370" s="190"/>
      <c r="I370" s="190"/>
      <c r="J370" s="190"/>
    </row>
    <row r="371" spans="1:10" ht="22.5" customHeight="1" x14ac:dyDescent="0.2">
      <c r="A371" s="180" t="s">
        <v>324</v>
      </c>
      <c r="B371" s="180"/>
      <c r="C371" s="180"/>
      <c r="D371" s="180"/>
      <c r="E371" s="180"/>
      <c r="F371" s="180"/>
      <c r="G371" s="180"/>
      <c r="H371" s="180"/>
      <c r="I371" s="180"/>
      <c r="J371" s="180"/>
    </row>
    <row r="372" spans="1:10" x14ac:dyDescent="0.2">
      <c r="A372" s="306" t="s">
        <v>1569</v>
      </c>
      <c r="B372" s="306"/>
      <c r="C372" s="306"/>
      <c r="D372" s="306"/>
      <c r="E372" s="306"/>
      <c r="F372" s="272">
        <v>0</v>
      </c>
      <c r="G372" s="272">
        <v>0</v>
      </c>
      <c r="H372" s="272">
        <v>0</v>
      </c>
      <c r="I372" s="272">
        <v>0</v>
      </c>
      <c r="J372" s="272">
        <v>0</v>
      </c>
    </row>
    <row r="373" spans="1:10" x14ac:dyDescent="0.2">
      <c r="A373" s="306" t="s">
        <v>1570</v>
      </c>
      <c r="B373" s="306"/>
      <c r="C373" s="306"/>
      <c r="D373" s="306"/>
      <c r="E373" s="306"/>
      <c r="F373" s="272">
        <v>3</v>
      </c>
      <c r="G373" s="272">
        <v>2</v>
      </c>
      <c r="H373" s="272">
        <v>5</v>
      </c>
      <c r="I373" s="272">
        <v>5</v>
      </c>
      <c r="J373" s="272">
        <v>5</v>
      </c>
    </row>
    <row r="374" spans="1:10" x14ac:dyDescent="0.2">
      <c r="A374" s="129"/>
      <c r="B374" s="129"/>
      <c r="C374" s="129"/>
      <c r="D374" s="129"/>
      <c r="E374" s="129"/>
      <c r="F374" s="129"/>
      <c r="G374" s="129"/>
      <c r="H374" s="129"/>
      <c r="I374" s="129"/>
      <c r="J374" s="129"/>
    </row>
    <row r="375" spans="1:10" x14ac:dyDescent="0.2">
      <c r="A375" s="150" t="s">
        <v>1571</v>
      </c>
      <c r="B375" s="150"/>
      <c r="C375" s="150"/>
      <c r="D375" s="150"/>
      <c r="E375" s="150"/>
      <c r="F375" s="150"/>
      <c r="G375" s="150"/>
      <c r="H375" s="150"/>
      <c r="I375" s="150"/>
      <c r="J375" s="150"/>
    </row>
    <row r="376" spans="1:10" x14ac:dyDescent="0.2">
      <c r="A376" s="151" t="s">
        <v>291</v>
      </c>
      <c r="B376" s="151"/>
      <c r="C376" s="151"/>
      <c r="D376" s="101"/>
      <c r="E376" s="101"/>
      <c r="F376" s="101"/>
      <c r="G376" s="101"/>
      <c r="H376" s="101"/>
      <c r="I376" s="101"/>
      <c r="J376" s="101"/>
    </row>
    <row r="377" spans="1:10" x14ac:dyDescent="0.2">
      <c r="A377" s="129" t="s">
        <v>1572</v>
      </c>
      <c r="B377" s="129"/>
      <c r="C377" s="129"/>
      <c r="D377" s="129"/>
      <c r="E377" s="129"/>
      <c r="F377" s="129"/>
      <c r="G377" s="129"/>
      <c r="H377" s="129"/>
      <c r="I377" s="129"/>
      <c r="J377" s="129"/>
    </row>
    <row r="378" spans="1:10" x14ac:dyDescent="0.2">
      <c r="A378" s="128" t="s">
        <v>293</v>
      </c>
      <c r="B378" s="128"/>
      <c r="C378" s="128"/>
      <c r="D378" s="128"/>
      <c r="E378" s="128"/>
      <c r="F378" s="128"/>
      <c r="G378" s="128"/>
      <c r="H378" s="128"/>
      <c r="I378" s="128"/>
      <c r="J378" s="128"/>
    </row>
    <row r="379" spans="1:10" ht="33.75" x14ac:dyDescent="0.2">
      <c r="A379" s="152" t="s">
        <v>243</v>
      </c>
      <c r="B379" s="151" t="s">
        <v>242</v>
      </c>
      <c r="C379" s="151"/>
      <c r="D379" s="151"/>
      <c r="E379" s="132" t="str">
        <f t="shared" ref="E379:J379" si="55">E25</f>
        <v>Actuals           2014-2015</v>
      </c>
      <c r="F379" s="132" t="str">
        <f t="shared" si="55"/>
        <v>Approved Estimates          2015-2016</v>
      </c>
      <c r="G379" s="132" t="str">
        <f t="shared" si="55"/>
        <v>Revised Estimates                 2015-2016</v>
      </c>
      <c r="H379" s="132" t="str">
        <f t="shared" si="55"/>
        <v>Budget Estimates      2016-2017</v>
      </c>
      <c r="I379" s="132" t="str">
        <f t="shared" si="55"/>
        <v>Forward Estimates     2017-2018</v>
      </c>
      <c r="J379" s="132" t="str">
        <f t="shared" si="55"/>
        <v>Forward Estimates     2018-2019</v>
      </c>
    </row>
    <row r="380" spans="1:10" x14ac:dyDescent="0.2">
      <c r="A380" s="133">
        <v>130</v>
      </c>
      <c r="B380" s="134" t="s">
        <v>1573</v>
      </c>
      <c r="C380" s="134"/>
      <c r="D380" s="134"/>
      <c r="E380" s="135">
        <v>157925</v>
      </c>
      <c r="F380" s="158">
        <v>160000</v>
      </c>
      <c r="G380" s="158">
        <v>177100</v>
      </c>
      <c r="H380" s="136">
        <v>170000</v>
      </c>
      <c r="I380" s="158">
        <v>170000</v>
      </c>
      <c r="J380" s="158">
        <v>170000</v>
      </c>
    </row>
    <row r="381" spans="1:10" x14ac:dyDescent="0.2">
      <c r="A381" s="137" t="s">
        <v>1461</v>
      </c>
      <c r="B381" s="137"/>
      <c r="C381" s="137"/>
      <c r="D381" s="137"/>
      <c r="E381" s="138">
        <f t="shared" ref="E381:J381" si="56">SUM(E380:E380)</f>
        <v>157925</v>
      </c>
      <c r="F381" s="138">
        <f t="shared" si="56"/>
        <v>160000</v>
      </c>
      <c r="G381" s="138">
        <f t="shared" si="56"/>
        <v>177100</v>
      </c>
      <c r="H381" s="138">
        <f t="shared" si="56"/>
        <v>170000</v>
      </c>
      <c r="I381" s="138">
        <f t="shared" si="56"/>
        <v>170000</v>
      </c>
      <c r="J381" s="138">
        <f t="shared" si="56"/>
        <v>170000</v>
      </c>
    </row>
    <row r="382" spans="1:10" x14ac:dyDescent="0.2">
      <c r="A382" s="129"/>
      <c r="B382" s="129"/>
      <c r="C382" s="129"/>
      <c r="D382" s="129"/>
      <c r="E382" s="129"/>
      <c r="F382" s="129"/>
      <c r="G382" s="129"/>
      <c r="H382" s="129"/>
      <c r="I382" s="129"/>
      <c r="J382" s="129"/>
    </row>
    <row r="383" spans="1:10" x14ac:dyDescent="0.2">
      <c r="A383" s="128" t="s">
        <v>284</v>
      </c>
      <c r="B383" s="128"/>
      <c r="C383" s="128"/>
      <c r="D383" s="128"/>
      <c r="E383" s="128"/>
      <c r="F383" s="128"/>
      <c r="G383" s="128"/>
      <c r="H383" s="128"/>
      <c r="I383" s="128"/>
      <c r="J383" s="128"/>
    </row>
    <row r="384" spans="1:10" ht="33.75" x14ac:dyDescent="0.2">
      <c r="A384" s="152" t="s">
        <v>243</v>
      </c>
      <c r="B384" s="151" t="s">
        <v>242</v>
      </c>
      <c r="C384" s="151"/>
      <c r="D384" s="151"/>
      <c r="E384" s="132" t="str">
        <f t="shared" ref="E384:J384" si="57">E25</f>
        <v>Actuals           2014-2015</v>
      </c>
      <c r="F384" s="132" t="str">
        <f t="shared" si="57"/>
        <v>Approved Estimates          2015-2016</v>
      </c>
      <c r="G384" s="132" t="str">
        <f t="shared" si="57"/>
        <v>Revised Estimates                 2015-2016</v>
      </c>
      <c r="H384" s="132" t="str">
        <f t="shared" si="57"/>
        <v>Budget Estimates      2016-2017</v>
      </c>
      <c r="I384" s="132" t="str">
        <f t="shared" si="57"/>
        <v>Forward Estimates     2017-2018</v>
      </c>
      <c r="J384" s="132" t="str">
        <f t="shared" si="57"/>
        <v>Forward Estimates     2018-2019</v>
      </c>
    </row>
    <row r="385" spans="1:10" x14ac:dyDescent="0.2">
      <c r="A385" s="151" t="s">
        <v>7</v>
      </c>
      <c r="B385" s="151"/>
      <c r="C385" s="151"/>
      <c r="D385" s="151"/>
      <c r="E385" s="151"/>
      <c r="F385" s="151"/>
      <c r="G385" s="151"/>
      <c r="H385" s="151"/>
      <c r="I385" s="151"/>
      <c r="J385" s="190"/>
    </row>
    <row r="386" spans="1:10" x14ac:dyDescent="0.2">
      <c r="A386" s="207">
        <v>210</v>
      </c>
      <c r="B386" s="129" t="s">
        <v>7</v>
      </c>
      <c r="C386" s="129"/>
      <c r="D386" s="129"/>
      <c r="E386" s="211">
        <v>158100</v>
      </c>
      <c r="F386" s="209">
        <v>180900</v>
      </c>
      <c r="G386" s="211">
        <v>168900</v>
      </c>
      <c r="H386" s="210">
        <v>198800</v>
      </c>
      <c r="I386" s="211">
        <v>204800</v>
      </c>
      <c r="J386" s="211">
        <v>210900</v>
      </c>
    </row>
    <row r="387" spans="1:10" x14ac:dyDescent="0.2">
      <c r="A387" s="207">
        <v>212</v>
      </c>
      <c r="B387" s="129" t="s">
        <v>9</v>
      </c>
      <c r="C387" s="129"/>
      <c r="D387" s="129"/>
      <c r="E387" s="211">
        <v>0</v>
      </c>
      <c r="F387" s="209">
        <v>0</v>
      </c>
      <c r="G387" s="211">
        <v>0</v>
      </c>
      <c r="H387" s="210">
        <v>0</v>
      </c>
      <c r="I387" s="211">
        <v>0</v>
      </c>
      <c r="J387" s="211">
        <v>0</v>
      </c>
    </row>
    <row r="388" spans="1:10" x14ac:dyDescent="0.2">
      <c r="A388" s="207">
        <v>216</v>
      </c>
      <c r="B388" s="129" t="s">
        <v>10</v>
      </c>
      <c r="C388" s="129"/>
      <c r="D388" s="129"/>
      <c r="E388" s="211">
        <v>26820</v>
      </c>
      <c r="F388" s="209">
        <v>29000</v>
      </c>
      <c r="G388" s="211">
        <v>28500</v>
      </c>
      <c r="H388" s="210">
        <v>30600</v>
      </c>
      <c r="I388" s="211">
        <v>30600</v>
      </c>
      <c r="J388" s="211">
        <v>30600</v>
      </c>
    </row>
    <row r="389" spans="1:10" x14ac:dyDescent="0.2">
      <c r="A389" s="207">
        <v>218</v>
      </c>
      <c r="B389" s="129" t="s">
        <v>294</v>
      </c>
      <c r="C389" s="129"/>
      <c r="D389" s="129"/>
      <c r="E389" s="211">
        <v>8154</v>
      </c>
      <c r="F389" s="209">
        <v>0</v>
      </c>
      <c r="G389" s="211">
        <v>0</v>
      </c>
      <c r="H389" s="210">
        <v>0</v>
      </c>
      <c r="I389" s="211">
        <v>0</v>
      </c>
      <c r="J389" s="211">
        <v>0</v>
      </c>
    </row>
    <row r="390" spans="1:10" x14ac:dyDescent="0.2">
      <c r="A390" s="156" t="s">
        <v>295</v>
      </c>
      <c r="B390" s="156"/>
      <c r="C390" s="156"/>
      <c r="D390" s="156"/>
      <c r="E390" s="157">
        <f t="shared" ref="E390:J390" si="58">SUM(E386:E389)</f>
        <v>193074</v>
      </c>
      <c r="F390" s="157">
        <f t="shared" si="58"/>
        <v>209900</v>
      </c>
      <c r="G390" s="157">
        <f t="shared" si="58"/>
        <v>197400</v>
      </c>
      <c r="H390" s="157">
        <f t="shared" si="58"/>
        <v>229400</v>
      </c>
      <c r="I390" s="157">
        <f t="shared" si="58"/>
        <v>235400</v>
      </c>
      <c r="J390" s="157">
        <f t="shared" si="58"/>
        <v>241500</v>
      </c>
    </row>
    <row r="391" spans="1:10" ht="15" customHeight="1" x14ac:dyDescent="0.2">
      <c r="A391" s="156" t="s">
        <v>296</v>
      </c>
      <c r="B391" s="156"/>
      <c r="C391" s="156"/>
      <c r="D391" s="156"/>
      <c r="E391" s="156"/>
      <c r="F391" s="156"/>
      <c r="G391" s="156"/>
      <c r="H391" s="156"/>
      <c r="I391" s="156"/>
      <c r="J391" s="190"/>
    </row>
    <row r="392" spans="1:10" x14ac:dyDescent="0.2">
      <c r="A392" s="207">
        <v>228</v>
      </c>
      <c r="B392" s="129" t="s">
        <v>208</v>
      </c>
      <c r="C392" s="129"/>
      <c r="D392" s="129"/>
      <c r="E392" s="211">
        <v>4994.1400000000003</v>
      </c>
      <c r="F392" s="211">
        <v>5000</v>
      </c>
      <c r="G392" s="211">
        <v>5000</v>
      </c>
      <c r="H392" s="210">
        <v>5000</v>
      </c>
      <c r="I392" s="211">
        <v>5000</v>
      </c>
      <c r="J392" s="211">
        <v>5000</v>
      </c>
    </row>
    <row r="393" spans="1:10" x14ac:dyDescent="0.2">
      <c r="A393" s="207">
        <v>236</v>
      </c>
      <c r="B393" s="129" t="s">
        <v>213</v>
      </c>
      <c r="C393" s="129"/>
      <c r="D393" s="129"/>
      <c r="E393" s="211">
        <v>22361.38</v>
      </c>
      <c r="F393" s="211">
        <v>20000</v>
      </c>
      <c r="G393" s="211">
        <v>20000</v>
      </c>
      <c r="H393" s="210">
        <v>20000</v>
      </c>
      <c r="I393" s="211">
        <v>20000</v>
      </c>
      <c r="J393" s="211">
        <v>20000</v>
      </c>
    </row>
    <row r="394" spans="1:10" x14ac:dyDescent="0.2">
      <c r="A394" s="207">
        <v>242</v>
      </c>
      <c r="B394" s="129" t="s">
        <v>216</v>
      </c>
      <c r="C394" s="129"/>
      <c r="D394" s="129"/>
      <c r="E394" s="211">
        <v>38665.760000000002</v>
      </c>
      <c r="F394" s="211">
        <v>40000</v>
      </c>
      <c r="G394" s="211">
        <v>40000</v>
      </c>
      <c r="H394" s="210">
        <v>30000</v>
      </c>
      <c r="I394" s="211">
        <v>30000</v>
      </c>
      <c r="J394" s="211">
        <v>30000</v>
      </c>
    </row>
    <row r="395" spans="1:10" x14ac:dyDescent="0.2">
      <c r="A395" s="207">
        <v>246</v>
      </c>
      <c r="B395" s="129" t="s">
        <v>1574</v>
      </c>
      <c r="C395" s="129"/>
      <c r="D395" s="129"/>
      <c r="E395" s="211">
        <v>3500</v>
      </c>
      <c r="F395" s="211">
        <v>3500</v>
      </c>
      <c r="G395" s="211">
        <v>3500</v>
      </c>
      <c r="H395" s="210">
        <v>3500</v>
      </c>
      <c r="I395" s="211">
        <v>3500</v>
      </c>
      <c r="J395" s="211">
        <v>3500</v>
      </c>
    </row>
    <row r="396" spans="1:10" x14ac:dyDescent="0.2">
      <c r="A396" s="207">
        <v>275</v>
      </c>
      <c r="B396" s="129" t="s">
        <v>1575</v>
      </c>
      <c r="C396" s="129"/>
      <c r="D396" s="129"/>
      <c r="E396" s="211">
        <v>2999.7</v>
      </c>
      <c r="F396" s="211">
        <v>7000</v>
      </c>
      <c r="G396" s="211">
        <v>7000</v>
      </c>
      <c r="H396" s="210">
        <v>7000</v>
      </c>
      <c r="I396" s="211">
        <v>7000</v>
      </c>
      <c r="J396" s="211">
        <v>7000</v>
      </c>
    </row>
    <row r="397" spans="1:10" x14ac:dyDescent="0.2">
      <c r="A397" s="156" t="s">
        <v>298</v>
      </c>
      <c r="B397" s="156"/>
      <c r="C397" s="156"/>
      <c r="D397" s="156"/>
      <c r="E397" s="157">
        <f t="shared" ref="E397:J397" si="59">SUM(E392:E396)</f>
        <v>72520.98</v>
      </c>
      <c r="F397" s="264">
        <f t="shared" si="59"/>
        <v>75500</v>
      </c>
      <c r="G397" s="157">
        <f t="shared" si="59"/>
        <v>75500</v>
      </c>
      <c r="H397" s="157">
        <f t="shared" si="59"/>
        <v>65500</v>
      </c>
      <c r="I397" s="157">
        <f t="shared" si="59"/>
        <v>65500</v>
      </c>
      <c r="J397" s="157">
        <f t="shared" si="59"/>
        <v>65500</v>
      </c>
    </row>
    <row r="398" spans="1:10" x14ac:dyDescent="0.2">
      <c r="A398" s="159" t="s">
        <v>299</v>
      </c>
      <c r="B398" s="159"/>
      <c r="C398" s="159"/>
      <c r="D398" s="159"/>
      <c r="E398" s="160">
        <f t="shared" ref="E398:J398" si="60">SUM(E390,E397)</f>
        <v>265594.98</v>
      </c>
      <c r="F398" s="160">
        <f t="shared" si="60"/>
        <v>285400</v>
      </c>
      <c r="G398" s="160">
        <f t="shared" si="60"/>
        <v>272900</v>
      </c>
      <c r="H398" s="160">
        <f t="shared" si="60"/>
        <v>294900</v>
      </c>
      <c r="I398" s="160">
        <f t="shared" si="60"/>
        <v>300900</v>
      </c>
      <c r="J398" s="160">
        <f t="shared" si="60"/>
        <v>307000</v>
      </c>
    </row>
    <row r="399" spans="1:10" x14ac:dyDescent="0.2">
      <c r="A399" s="129"/>
      <c r="B399" s="129"/>
      <c r="C399" s="129"/>
      <c r="D399" s="129"/>
      <c r="E399" s="129"/>
      <c r="F399" s="129"/>
      <c r="G399" s="129"/>
      <c r="H399" s="129"/>
      <c r="I399" s="129"/>
      <c r="J399" s="190"/>
    </row>
    <row r="400" spans="1:10" x14ac:dyDescent="0.2">
      <c r="A400" s="162" t="s">
        <v>15</v>
      </c>
      <c r="B400" s="162"/>
      <c r="C400" s="162"/>
      <c r="D400" s="162"/>
      <c r="E400" s="162"/>
      <c r="F400" s="162"/>
      <c r="G400" s="162"/>
      <c r="H400" s="162"/>
      <c r="I400" s="162"/>
      <c r="J400" s="162"/>
    </row>
    <row r="401" spans="1:10" ht="19.899999999999999" customHeight="1" x14ac:dyDescent="0.2">
      <c r="A401" s="131" t="s">
        <v>242</v>
      </c>
      <c r="B401" s="131"/>
      <c r="C401" s="131"/>
      <c r="D401" s="131"/>
      <c r="E401" s="128" t="str">
        <f t="shared" ref="E401:J401" si="61">E25</f>
        <v>Actuals           2014-2015</v>
      </c>
      <c r="F401" s="128" t="str">
        <f t="shared" si="61"/>
        <v>Approved Estimates          2015-2016</v>
      </c>
      <c r="G401" s="128" t="str">
        <f t="shared" si="61"/>
        <v>Revised Estimates                 2015-2016</v>
      </c>
      <c r="H401" s="128" t="str">
        <f t="shared" si="61"/>
        <v>Budget Estimates      2016-2017</v>
      </c>
      <c r="I401" s="128" t="str">
        <f t="shared" si="61"/>
        <v>Forward Estimates     2017-2018</v>
      </c>
      <c r="J401" s="128" t="str">
        <f t="shared" si="61"/>
        <v>Forward Estimates     2018-2019</v>
      </c>
    </row>
    <row r="402" spans="1:10" x14ac:dyDescent="0.2">
      <c r="A402" s="130" t="s">
        <v>243</v>
      </c>
      <c r="B402" s="130" t="s">
        <v>244</v>
      </c>
      <c r="C402" s="131" t="s">
        <v>245</v>
      </c>
      <c r="D402" s="131"/>
      <c r="E402" s="101"/>
      <c r="F402" s="101"/>
      <c r="G402" s="101"/>
      <c r="H402" s="101"/>
      <c r="I402" s="101"/>
      <c r="J402" s="101"/>
    </row>
    <row r="403" spans="1:10" x14ac:dyDescent="0.2">
      <c r="A403" s="163"/>
      <c r="B403" s="163"/>
      <c r="C403" s="156"/>
      <c r="D403" s="156"/>
      <c r="E403" s="158"/>
      <c r="F403" s="209"/>
      <c r="G403" s="158"/>
      <c r="H403" s="136"/>
      <c r="I403" s="158"/>
      <c r="J403" s="135"/>
    </row>
    <row r="404" spans="1:10" x14ac:dyDescent="0.2">
      <c r="A404" s="163"/>
      <c r="B404" s="163"/>
      <c r="C404" s="156"/>
      <c r="D404" s="156"/>
      <c r="E404" s="158"/>
      <c r="F404" s="209"/>
      <c r="G404" s="158"/>
      <c r="H404" s="136"/>
      <c r="I404" s="158"/>
      <c r="J404" s="135"/>
    </row>
    <row r="405" spans="1:10" ht="15" customHeight="1" x14ac:dyDescent="0.2">
      <c r="A405" s="137" t="s">
        <v>15</v>
      </c>
      <c r="B405" s="137"/>
      <c r="C405" s="137"/>
      <c r="D405" s="137"/>
      <c r="E405" s="138">
        <v>0</v>
      </c>
      <c r="F405" s="138">
        <v>0</v>
      </c>
      <c r="G405" s="138">
        <v>0</v>
      </c>
      <c r="H405" s="138">
        <v>0</v>
      </c>
      <c r="I405" s="138">
        <v>0</v>
      </c>
      <c r="J405" s="138">
        <v>0</v>
      </c>
    </row>
    <row r="406" spans="1:10" x14ac:dyDescent="0.2">
      <c r="A406" s="290"/>
      <c r="B406" s="290"/>
      <c r="C406" s="290"/>
      <c r="D406" s="290"/>
      <c r="E406" s="290"/>
      <c r="F406" s="290"/>
      <c r="G406" s="290"/>
      <c r="H406" s="290"/>
      <c r="I406" s="290"/>
      <c r="J406" s="290"/>
    </row>
    <row r="407" spans="1:10" x14ac:dyDescent="0.2">
      <c r="A407" s="161" t="s">
        <v>288</v>
      </c>
      <c r="B407" s="161"/>
      <c r="C407" s="161"/>
      <c r="D407" s="161"/>
      <c r="E407" s="161"/>
      <c r="F407" s="202"/>
      <c r="G407" s="202"/>
      <c r="H407" s="202"/>
      <c r="I407" s="202"/>
      <c r="J407" s="202"/>
    </row>
    <row r="408" spans="1:10" x14ac:dyDescent="0.2">
      <c r="A408" s="131" t="s">
        <v>300</v>
      </c>
      <c r="B408" s="131"/>
      <c r="C408" s="131"/>
      <c r="D408" s="132" t="s">
        <v>301</v>
      </c>
      <c r="E408" s="132" t="s">
        <v>302</v>
      </c>
      <c r="F408" s="131" t="s">
        <v>300</v>
      </c>
      <c r="G408" s="131"/>
      <c r="H408" s="131"/>
      <c r="I408" s="132" t="s">
        <v>301</v>
      </c>
      <c r="J408" s="132" t="s">
        <v>302</v>
      </c>
    </row>
    <row r="409" spans="1:10" ht="22.5" x14ac:dyDescent="0.2">
      <c r="A409" s="134" t="str">
        <f>Establishment!D494</f>
        <v>Labour Commissioner</v>
      </c>
      <c r="B409" s="134"/>
      <c r="C409" s="134"/>
      <c r="D409" s="133" t="str">
        <f>Establishment!E494</f>
        <v>R14-10</v>
      </c>
      <c r="E409" s="133">
        <f>Establishment!C494</f>
        <v>1</v>
      </c>
      <c r="F409" s="134" t="str">
        <f>Establishment!D496</f>
        <v>Labour Inspector</v>
      </c>
      <c r="G409" s="134"/>
      <c r="H409" s="134"/>
      <c r="I409" s="133" t="str">
        <f>Establishment!E496</f>
        <v>R28-22/R22-18</v>
      </c>
      <c r="J409" s="133">
        <f>Establishment!C496</f>
        <v>1</v>
      </c>
    </row>
    <row r="410" spans="1:10" x14ac:dyDescent="0.2">
      <c r="A410" s="134" t="str">
        <f>Establishment!D495</f>
        <v>Labour Officer</v>
      </c>
      <c r="B410" s="134"/>
      <c r="C410" s="134"/>
      <c r="D410" s="133" t="str">
        <f>Establishment!E495</f>
        <v>R22-16</v>
      </c>
      <c r="E410" s="133">
        <f>Establishment!C495</f>
        <v>1</v>
      </c>
      <c r="F410" s="134" t="str">
        <f>Establishment!D497</f>
        <v>Clerical Officer (Snr)</v>
      </c>
      <c r="G410" s="134"/>
      <c r="H410" s="134"/>
      <c r="I410" s="133" t="str">
        <f>Establishment!E497</f>
        <v>R33-29</v>
      </c>
      <c r="J410" s="133">
        <f>Establishment!C497</f>
        <v>1</v>
      </c>
    </row>
    <row r="411" spans="1:10" ht="14.25" customHeight="1" x14ac:dyDescent="0.2">
      <c r="A411" s="203" t="s">
        <v>303</v>
      </c>
      <c r="B411" s="203"/>
      <c r="C411" s="203"/>
      <c r="D411" s="203"/>
      <c r="E411" s="203"/>
      <c r="F411" s="203"/>
      <c r="G411" s="203"/>
      <c r="H411" s="203"/>
      <c r="I411" s="203"/>
      <c r="J411" s="204">
        <f>SUM(E409:E410,J409:J410)</f>
        <v>4</v>
      </c>
    </row>
    <row r="412" spans="1:10" x14ac:dyDescent="0.2">
      <c r="A412" s="129"/>
      <c r="B412" s="129"/>
      <c r="C412" s="129"/>
      <c r="D412" s="129"/>
      <c r="E412" s="129"/>
      <c r="F412" s="179"/>
      <c r="G412" s="179"/>
      <c r="H412" s="179"/>
      <c r="I412" s="179"/>
      <c r="J412" s="179"/>
    </row>
    <row r="413" spans="1:10" x14ac:dyDescent="0.2">
      <c r="A413" s="180" t="s">
        <v>304</v>
      </c>
      <c r="B413" s="180"/>
      <c r="C413" s="180"/>
      <c r="D413" s="180"/>
      <c r="E413" s="180"/>
      <c r="F413" s="180"/>
      <c r="G413" s="180"/>
      <c r="H413" s="180"/>
      <c r="I413" s="180"/>
      <c r="J413" s="180"/>
    </row>
    <row r="414" spans="1:10" x14ac:dyDescent="0.2">
      <c r="A414" s="181" t="s">
        <v>305</v>
      </c>
      <c r="B414" s="181"/>
      <c r="C414" s="181"/>
      <c r="D414" s="181"/>
      <c r="E414" s="181"/>
      <c r="F414" s="181"/>
      <c r="G414" s="181"/>
      <c r="H414" s="181"/>
      <c r="I414" s="181"/>
      <c r="J414" s="181"/>
    </row>
    <row r="415" spans="1:10" x14ac:dyDescent="0.2">
      <c r="A415" s="129" t="s">
        <v>1576</v>
      </c>
      <c r="B415" s="129"/>
      <c r="C415" s="129"/>
      <c r="D415" s="129"/>
      <c r="E415" s="129"/>
      <c r="F415" s="129"/>
      <c r="G415" s="129"/>
      <c r="H415" s="129"/>
      <c r="I415" s="129"/>
      <c r="J415" s="129"/>
    </row>
    <row r="416" spans="1:10" x14ac:dyDescent="0.2">
      <c r="A416" s="129"/>
      <c r="B416" s="129"/>
      <c r="C416" s="129"/>
      <c r="D416" s="129"/>
      <c r="E416" s="129"/>
      <c r="F416" s="129"/>
      <c r="G416" s="129"/>
      <c r="H416" s="129"/>
      <c r="I416" s="129"/>
      <c r="J416" s="129"/>
    </row>
    <row r="417" spans="1:10" x14ac:dyDescent="0.2">
      <c r="A417" s="183" t="s">
        <v>415</v>
      </c>
      <c r="B417" s="183"/>
      <c r="C417" s="183"/>
      <c r="D417" s="183"/>
      <c r="E417" s="183"/>
      <c r="F417" s="183"/>
      <c r="G417" s="183"/>
      <c r="H417" s="183"/>
      <c r="I417" s="183"/>
      <c r="J417" s="183"/>
    </row>
    <row r="418" spans="1:10" ht="24" customHeight="1" x14ac:dyDescent="0.2">
      <c r="A418" s="129" t="s">
        <v>1577</v>
      </c>
      <c r="B418" s="129"/>
      <c r="C418" s="129"/>
      <c r="D418" s="129"/>
      <c r="E418" s="129"/>
      <c r="F418" s="129"/>
      <c r="G418" s="129"/>
      <c r="H418" s="129"/>
      <c r="I418" s="129"/>
      <c r="J418" s="129"/>
    </row>
    <row r="419" spans="1:10" ht="24" customHeight="1" x14ac:dyDescent="0.2">
      <c r="A419" s="129" t="s">
        <v>1578</v>
      </c>
      <c r="B419" s="129"/>
      <c r="C419" s="129"/>
      <c r="D419" s="129"/>
      <c r="E419" s="129"/>
      <c r="F419" s="129"/>
      <c r="G419" s="129"/>
      <c r="H419" s="129"/>
      <c r="I419" s="129"/>
      <c r="J419" s="129"/>
    </row>
    <row r="420" spans="1:10" ht="24" customHeight="1" x14ac:dyDescent="0.2">
      <c r="A420" s="129" t="s">
        <v>1579</v>
      </c>
      <c r="B420" s="129"/>
      <c r="C420" s="129"/>
      <c r="D420" s="129"/>
      <c r="E420" s="129"/>
      <c r="F420" s="129"/>
      <c r="G420" s="129"/>
      <c r="H420" s="129"/>
      <c r="I420" s="129"/>
      <c r="J420" s="129"/>
    </row>
    <row r="421" spans="1:10" x14ac:dyDescent="0.2">
      <c r="A421" s="129"/>
      <c r="B421" s="129"/>
      <c r="C421" s="129"/>
      <c r="D421" s="129"/>
      <c r="E421" s="129"/>
      <c r="F421" s="129"/>
      <c r="G421" s="129"/>
      <c r="H421" s="129"/>
      <c r="I421" s="129"/>
      <c r="J421" s="129"/>
    </row>
    <row r="422" spans="1:10" ht="22.5" x14ac:dyDescent="0.2">
      <c r="A422" s="180" t="s">
        <v>315</v>
      </c>
      <c r="B422" s="180"/>
      <c r="C422" s="180"/>
      <c r="D422" s="180"/>
      <c r="E422" s="180"/>
      <c r="F422" s="184" t="str">
        <f>F157</f>
        <v xml:space="preserve"> Actual 2014-2015</v>
      </c>
      <c r="G422" s="184" t="str">
        <f>G157</f>
        <v xml:space="preserve"> Estimate 2015-2016</v>
      </c>
      <c r="H422" s="184" t="str">
        <f>H157</f>
        <v xml:space="preserve"> Target 2016-2017</v>
      </c>
      <c r="I422" s="184" t="str">
        <f>I157</f>
        <v xml:space="preserve"> Target 2017-2018</v>
      </c>
      <c r="J422" s="184" t="str">
        <f>J157</f>
        <v xml:space="preserve"> Target 2018-2019</v>
      </c>
    </row>
    <row r="423" spans="1:10" x14ac:dyDescent="0.2">
      <c r="A423" s="180" t="s">
        <v>316</v>
      </c>
      <c r="B423" s="180"/>
      <c r="C423" s="180"/>
      <c r="D423" s="180"/>
      <c r="E423" s="180"/>
      <c r="F423" s="180"/>
      <c r="G423" s="180"/>
      <c r="H423" s="180"/>
      <c r="I423" s="180"/>
      <c r="J423" s="180"/>
    </row>
    <row r="424" spans="1:10" x14ac:dyDescent="0.2">
      <c r="A424" s="188" t="s">
        <v>1580</v>
      </c>
      <c r="B424" s="188"/>
      <c r="C424" s="188"/>
      <c r="D424" s="188"/>
      <c r="E424" s="188"/>
      <c r="F424" s="272">
        <v>45</v>
      </c>
      <c r="G424" s="191">
        <v>50</v>
      </c>
      <c r="H424" s="191">
        <v>50</v>
      </c>
      <c r="I424" s="191">
        <v>40</v>
      </c>
      <c r="J424" s="191">
        <v>42</v>
      </c>
    </row>
    <row r="425" spans="1:10" x14ac:dyDescent="0.2">
      <c r="A425" s="188" t="s">
        <v>1581</v>
      </c>
      <c r="B425" s="188"/>
      <c r="C425" s="188"/>
      <c r="D425" s="188"/>
      <c r="E425" s="188"/>
      <c r="F425" s="272">
        <v>24</v>
      </c>
      <c r="G425" s="191">
        <v>36</v>
      </c>
      <c r="H425" s="191">
        <v>40</v>
      </c>
      <c r="I425" s="191">
        <v>50</v>
      </c>
      <c r="J425" s="191">
        <v>51</v>
      </c>
    </row>
    <row r="426" spans="1:10" x14ac:dyDescent="0.2">
      <c r="A426" s="188" t="s">
        <v>1582</v>
      </c>
      <c r="B426" s="188"/>
      <c r="C426" s="188"/>
      <c r="D426" s="188"/>
      <c r="E426" s="188"/>
      <c r="F426" s="272">
        <v>4</v>
      </c>
      <c r="G426" s="191">
        <v>10</v>
      </c>
      <c r="H426" s="191" t="s">
        <v>1583</v>
      </c>
      <c r="I426" s="191">
        <v>20</v>
      </c>
      <c r="J426" s="191">
        <v>23</v>
      </c>
    </row>
    <row r="427" spans="1:10" x14ac:dyDescent="0.2">
      <c r="A427" s="188"/>
      <c r="B427" s="188"/>
      <c r="C427" s="188"/>
      <c r="D427" s="188"/>
      <c r="E427" s="188"/>
      <c r="F427" s="273"/>
      <c r="G427" s="190"/>
      <c r="H427" s="190"/>
      <c r="I427" s="190"/>
      <c r="J427" s="190"/>
    </row>
    <row r="428" spans="1:10" ht="23.25" customHeight="1" x14ac:dyDescent="0.2">
      <c r="A428" s="180" t="s">
        <v>324</v>
      </c>
      <c r="B428" s="180"/>
      <c r="C428" s="180"/>
      <c r="D428" s="180"/>
      <c r="E428" s="180"/>
      <c r="F428" s="180"/>
      <c r="G428" s="180"/>
      <c r="H428" s="180"/>
      <c r="I428" s="180"/>
      <c r="J428" s="180"/>
    </row>
    <row r="429" spans="1:10" x14ac:dyDescent="0.2">
      <c r="A429" s="188" t="s">
        <v>1584</v>
      </c>
      <c r="B429" s="188"/>
      <c r="C429" s="188"/>
      <c r="D429" s="188"/>
      <c r="E429" s="188"/>
      <c r="F429" s="191">
        <v>90</v>
      </c>
      <c r="G429" s="191">
        <v>90</v>
      </c>
      <c r="H429" s="191">
        <v>90</v>
      </c>
      <c r="I429" s="191">
        <v>90</v>
      </c>
      <c r="J429" s="191">
        <v>90</v>
      </c>
    </row>
    <row r="430" spans="1:10" x14ac:dyDescent="0.2">
      <c r="A430" s="188" t="s">
        <v>1585</v>
      </c>
      <c r="B430" s="188"/>
      <c r="C430" s="188"/>
      <c r="D430" s="188"/>
      <c r="E430" s="188"/>
      <c r="F430" s="272">
        <v>50</v>
      </c>
      <c r="G430" s="191">
        <v>60</v>
      </c>
      <c r="H430" s="191">
        <v>70</v>
      </c>
      <c r="I430" s="191">
        <v>85</v>
      </c>
      <c r="J430" s="191">
        <v>85</v>
      </c>
    </row>
    <row r="431" spans="1:10" x14ac:dyDescent="0.2">
      <c r="A431" s="188" t="s">
        <v>1586</v>
      </c>
      <c r="B431" s="188"/>
      <c r="C431" s="188"/>
      <c r="D431" s="188"/>
      <c r="E431" s="188"/>
      <c r="F431" s="272">
        <v>65</v>
      </c>
      <c r="G431" s="191">
        <v>70</v>
      </c>
      <c r="H431" s="191">
        <v>70</v>
      </c>
      <c r="I431" s="191">
        <v>70</v>
      </c>
      <c r="J431" s="191">
        <v>70</v>
      </c>
    </row>
    <row r="432" spans="1:10" ht="15" customHeight="1" x14ac:dyDescent="0.2">
      <c r="A432" s="306"/>
      <c r="B432" s="306"/>
      <c r="C432" s="306"/>
      <c r="D432" s="306"/>
      <c r="E432" s="306"/>
      <c r="F432" s="273"/>
      <c r="G432" s="190"/>
      <c r="H432" s="190"/>
      <c r="I432" s="190"/>
      <c r="J432" s="190"/>
    </row>
    <row r="433" spans="1:10" ht="15" customHeight="1" x14ac:dyDescent="0.2">
      <c r="A433" s="129"/>
      <c r="B433" s="129"/>
      <c r="C433" s="129"/>
      <c r="D433" s="129"/>
      <c r="E433" s="129"/>
      <c r="F433" s="129"/>
      <c r="G433" s="129"/>
      <c r="H433" s="129"/>
      <c r="I433" s="129"/>
      <c r="J433" s="129"/>
    </row>
    <row r="435" spans="1:10" ht="15" customHeight="1" x14ac:dyDescent="0.2">
      <c r="A435" s="222"/>
      <c r="B435" s="222"/>
      <c r="C435" s="222"/>
      <c r="D435" s="222"/>
      <c r="E435" s="274" t="s">
        <v>382</v>
      </c>
      <c r="F435" s="229"/>
      <c r="G435" s="222"/>
      <c r="H435" s="222"/>
      <c r="I435" s="222"/>
      <c r="J435" s="223" t="s">
        <v>766</v>
      </c>
    </row>
    <row r="436" spans="1:10" ht="34.5" thickBot="1" x14ac:dyDescent="0.25">
      <c r="A436" s="224"/>
      <c r="B436" s="224" t="s">
        <v>188</v>
      </c>
      <c r="C436" s="225"/>
      <c r="D436" s="226"/>
      <c r="E436" s="184" t="str">
        <f t="shared" ref="E436:J436" si="62">E25</f>
        <v>Actuals           2014-2015</v>
      </c>
      <c r="F436" s="184" t="str">
        <f t="shared" si="62"/>
        <v>Approved Estimates          2015-2016</v>
      </c>
      <c r="G436" s="184" t="str">
        <f t="shared" si="62"/>
        <v>Revised Estimates                 2015-2016</v>
      </c>
      <c r="H436" s="184" t="str">
        <f t="shared" si="62"/>
        <v>Budget Estimates      2016-2017</v>
      </c>
      <c r="I436" s="184" t="str">
        <f t="shared" si="62"/>
        <v>Forward Estimates     2017-2018</v>
      </c>
      <c r="J436" s="184" t="str">
        <f t="shared" si="62"/>
        <v>Forward Estimates     2018-2019</v>
      </c>
    </row>
    <row r="437" spans="1:10" ht="15" customHeight="1" x14ac:dyDescent="0.2">
      <c r="A437" s="229" t="s">
        <v>7</v>
      </c>
      <c r="B437" s="227"/>
      <c r="C437" s="227"/>
      <c r="D437" s="227"/>
      <c r="E437" s="227"/>
      <c r="F437" s="227"/>
      <c r="G437" s="227"/>
      <c r="H437" s="227"/>
      <c r="I437" s="228"/>
      <c r="J437" s="227"/>
    </row>
    <row r="438" spans="1:10" x14ac:dyDescent="0.2">
      <c r="A438" s="222"/>
      <c r="B438" s="222" t="s">
        <v>501</v>
      </c>
      <c r="C438" s="222"/>
      <c r="D438" s="222"/>
      <c r="E438" s="231">
        <f t="shared" ref="E438:J438" si="63">E92</f>
        <v>726819.5</v>
      </c>
      <c r="F438" s="231">
        <f t="shared" si="63"/>
        <v>769200</v>
      </c>
      <c r="G438" s="231">
        <f t="shared" si="63"/>
        <v>723400</v>
      </c>
      <c r="H438" s="231">
        <f t="shared" si="63"/>
        <v>818200</v>
      </c>
      <c r="I438" s="231">
        <f t="shared" si="63"/>
        <v>835300</v>
      </c>
      <c r="J438" s="231">
        <f t="shared" si="63"/>
        <v>852500</v>
      </c>
    </row>
    <row r="439" spans="1:10" ht="15" customHeight="1" x14ac:dyDescent="0.2">
      <c r="A439" s="222"/>
      <c r="B439" s="222" t="s">
        <v>1457</v>
      </c>
      <c r="C439" s="222"/>
      <c r="D439" s="222"/>
      <c r="E439" s="231">
        <f t="shared" ref="E439:J439" si="64">E180</f>
        <v>1709293.27</v>
      </c>
      <c r="F439" s="231">
        <f t="shared" si="64"/>
        <v>1938700</v>
      </c>
      <c r="G439" s="231">
        <f t="shared" si="64"/>
        <v>1903700</v>
      </c>
      <c r="H439" s="231">
        <f t="shared" si="64"/>
        <v>2026100</v>
      </c>
      <c r="I439" s="231">
        <f t="shared" si="64"/>
        <v>2099300</v>
      </c>
      <c r="J439" s="231">
        <f t="shared" si="64"/>
        <v>2122100</v>
      </c>
    </row>
    <row r="440" spans="1:10" ht="15" customHeight="1" x14ac:dyDescent="0.2">
      <c r="A440" s="222"/>
      <c r="B440" s="222" t="s">
        <v>1458</v>
      </c>
      <c r="C440" s="222"/>
      <c r="D440" s="222"/>
      <c r="E440" s="231">
        <f t="shared" ref="E440:J440" si="65">E251</f>
        <v>1356704.63</v>
      </c>
      <c r="F440" s="231">
        <f t="shared" si="65"/>
        <v>1452800</v>
      </c>
      <c r="G440" s="231">
        <f t="shared" si="65"/>
        <v>1452800</v>
      </c>
      <c r="H440" s="231">
        <f t="shared" si="65"/>
        <v>1508100</v>
      </c>
      <c r="I440" s="231">
        <f t="shared" si="65"/>
        <v>1542100</v>
      </c>
      <c r="J440" s="231">
        <f t="shared" si="65"/>
        <v>1570400</v>
      </c>
    </row>
    <row r="441" spans="1:10" ht="15" customHeight="1" x14ac:dyDescent="0.2">
      <c r="A441" s="222"/>
      <c r="B441" s="222" t="s">
        <v>1459</v>
      </c>
      <c r="C441" s="222"/>
      <c r="D441" s="222"/>
      <c r="E441" s="231">
        <f t="shared" ref="E441:J441" si="66">E318</f>
        <v>1117831.94</v>
      </c>
      <c r="F441" s="231">
        <f t="shared" si="66"/>
        <v>1297900</v>
      </c>
      <c r="G441" s="231">
        <f t="shared" si="66"/>
        <v>1196300</v>
      </c>
      <c r="H441" s="231">
        <f t="shared" si="66"/>
        <v>1308100</v>
      </c>
      <c r="I441" s="231">
        <f t="shared" si="66"/>
        <v>1346700</v>
      </c>
      <c r="J441" s="231">
        <f t="shared" si="66"/>
        <v>1374600</v>
      </c>
    </row>
    <row r="442" spans="1:10" ht="15" customHeight="1" x14ac:dyDescent="0.2">
      <c r="A442" s="233"/>
      <c r="B442" s="233" t="s">
        <v>1460</v>
      </c>
      <c r="C442" s="233"/>
      <c r="D442" s="233"/>
      <c r="E442" s="231">
        <f t="shared" ref="E442:J442" si="67">E386</f>
        <v>158100</v>
      </c>
      <c r="F442" s="231">
        <f t="shared" si="67"/>
        <v>180900</v>
      </c>
      <c r="G442" s="231">
        <f t="shared" si="67"/>
        <v>168900</v>
      </c>
      <c r="H442" s="231">
        <f t="shared" si="67"/>
        <v>198800</v>
      </c>
      <c r="I442" s="231">
        <f t="shared" si="67"/>
        <v>204800</v>
      </c>
      <c r="J442" s="231">
        <f t="shared" si="67"/>
        <v>210900</v>
      </c>
    </row>
    <row r="443" spans="1:10" ht="15" customHeight="1" thickBot="1" x14ac:dyDescent="0.25">
      <c r="A443" s="222"/>
      <c r="B443" s="222"/>
      <c r="C443" s="229" t="s">
        <v>385</v>
      </c>
      <c r="D443" s="235"/>
      <c r="E443" s="236">
        <f t="shared" ref="E443:J443" si="68">SUM(E438:E442)</f>
        <v>5068749.34</v>
      </c>
      <c r="F443" s="236">
        <f t="shared" si="68"/>
        <v>5639500</v>
      </c>
      <c r="G443" s="236">
        <f t="shared" si="68"/>
        <v>5445100</v>
      </c>
      <c r="H443" s="236">
        <f>SUM(H438:H442)</f>
        <v>5859300</v>
      </c>
      <c r="I443" s="236">
        <f t="shared" si="68"/>
        <v>6028200</v>
      </c>
      <c r="J443" s="236">
        <f t="shared" si="68"/>
        <v>6130500</v>
      </c>
    </row>
    <row r="444" spans="1:10" ht="15" customHeight="1" x14ac:dyDescent="0.2">
      <c r="A444" s="237" t="s">
        <v>196</v>
      </c>
      <c r="B444" s="237"/>
      <c r="C444" s="233"/>
      <c r="D444" s="238"/>
      <c r="E444" s="242"/>
      <c r="F444" s="242"/>
      <c r="G444" s="242"/>
      <c r="H444" s="242"/>
      <c r="I444" s="242"/>
      <c r="J444" s="242"/>
    </row>
    <row r="445" spans="1:10" ht="15" customHeight="1" x14ac:dyDescent="0.2">
      <c r="A445" s="222"/>
      <c r="B445" s="222" t="s">
        <v>501</v>
      </c>
      <c r="C445" s="222"/>
      <c r="D445" s="222"/>
      <c r="E445" s="231">
        <f t="shared" ref="E445:J445" si="69">E93</f>
        <v>0</v>
      </c>
      <c r="F445" s="231">
        <f t="shared" si="69"/>
        <v>0</v>
      </c>
      <c r="G445" s="231">
        <f t="shared" si="69"/>
        <v>0</v>
      </c>
      <c r="H445" s="231">
        <f t="shared" si="69"/>
        <v>0</v>
      </c>
      <c r="I445" s="231">
        <f t="shared" si="69"/>
        <v>0</v>
      </c>
      <c r="J445" s="231">
        <f t="shared" si="69"/>
        <v>0</v>
      </c>
    </row>
    <row r="446" spans="1:10" x14ac:dyDescent="0.2">
      <c r="A446" s="222"/>
      <c r="B446" s="222" t="s">
        <v>1457</v>
      </c>
      <c r="C446" s="222"/>
      <c r="D446" s="222"/>
      <c r="E446" s="231">
        <f t="shared" ref="E446:J446" si="70">E181</f>
        <v>0</v>
      </c>
      <c r="F446" s="231">
        <f t="shared" si="70"/>
        <v>0</v>
      </c>
      <c r="G446" s="231">
        <f t="shared" si="70"/>
        <v>0</v>
      </c>
      <c r="H446" s="231">
        <f t="shared" si="70"/>
        <v>0</v>
      </c>
      <c r="I446" s="231">
        <f t="shared" si="70"/>
        <v>0</v>
      </c>
      <c r="J446" s="231">
        <f t="shared" si="70"/>
        <v>0</v>
      </c>
    </row>
    <row r="447" spans="1:10" ht="15" customHeight="1" x14ac:dyDescent="0.2">
      <c r="A447" s="222"/>
      <c r="B447" s="222" t="s">
        <v>1458</v>
      </c>
      <c r="C447" s="222"/>
      <c r="D447" s="222"/>
      <c r="E447" s="231">
        <f t="shared" ref="E447:J447" si="71">E252</f>
        <v>0</v>
      </c>
      <c r="F447" s="231">
        <f t="shared" si="71"/>
        <v>0</v>
      </c>
      <c r="G447" s="231">
        <f t="shared" si="71"/>
        <v>0</v>
      </c>
      <c r="H447" s="231">
        <f t="shared" si="71"/>
        <v>0</v>
      </c>
      <c r="I447" s="231">
        <f t="shared" si="71"/>
        <v>0</v>
      </c>
      <c r="J447" s="231">
        <f t="shared" si="71"/>
        <v>0</v>
      </c>
    </row>
    <row r="448" spans="1:10" ht="15" customHeight="1" x14ac:dyDescent="0.2">
      <c r="A448" s="222"/>
      <c r="B448" s="222" t="s">
        <v>1459</v>
      </c>
      <c r="C448" s="222"/>
      <c r="D448" s="222"/>
      <c r="E448" s="231">
        <f t="shared" ref="E448:J448" si="72">E319</f>
        <v>0</v>
      </c>
      <c r="F448" s="231">
        <f t="shared" si="72"/>
        <v>0</v>
      </c>
      <c r="G448" s="231">
        <f t="shared" si="72"/>
        <v>0</v>
      </c>
      <c r="H448" s="231">
        <f t="shared" si="72"/>
        <v>0</v>
      </c>
      <c r="I448" s="231">
        <f t="shared" si="72"/>
        <v>0</v>
      </c>
      <c r="J448" s="231">
        <f t="shared" si="72"/>
        <v>0</v>
      </c>
    </row>
    <row r="449" spans="1:10" x14ac:dyDescent="0.2">
      <c r="A449" s="222"/>
      <c r="B449" s="233" t="s">
        <v>1460</v>
      </c>
      <c r="C449" s="233"/>
      <c r="D449" s="233"/>
      <c r="E449" s="231">
        <f t="shared" ref="E449:J449" si="73">E387</f>
        <v>0</v>
      </c>
      <c r="F449" s="231">
        <f t="shared" si="73"/>
        <v>0</v>
      </c>
      <c r="G449" s="231">
        <f t="shared" si="73"/>
        <v>0</v>
      </c>
      <c r="H449" s="231">
        <f t="shared" si="73"/>
        <v>0</v>
      </c>
      <c r="I449" s="231">
        <f t="shared" si="73"/>
        <v>0</v>
      </c>
      <c r="J449" s="231">
        <f t="shared" si="73"/>
        <v>0</v>
      </c>
    </row>
    <row r="450" spans="1:10" ht="15" customHeight="1" thickBot="1" x14ac:dyDescent="0.25">
      <c r="A450" s="229"/>
      <c r="B450" s="229"/>
      <c r="C450" s="229" t="s">
        <v>386</v>
      </c>
      <c r="D450" s="239"/>
      <c r="E450" s="236">
        <f t="shared" ref="E450:J450" si="74">SUM(E445:E449)</f>
        <v>0</v>
      </c>
      <c r="F450" s="236">
        <f t="shared" si="74"/>
        <v>0</v>
      </c>
      <c r="G450" s="236">
        <f t="shared" si="74"/>
        <v>0</v>
      </c>
      <c r="H450" s="236">
        <f t="shared" si="74"/>
        <v>0</v>
      </c>
      <c r="I450" s="236">
        <f t="shared" si="74"/>
        <v>0</v>
      </c>
      <c r="J450" s="236">
        <f t="shared" si="74"/>
        <v>0</v>
      </c>
    </row>
    <row r="451" spans="1:10" ht="15" customHeight="1" x14ac:dyDescent="0.2">
      <c r="A451" s="229" t="s">
        <v>387</v>
      </c>
      <c r="B451" s="222"/>
      <c r="C451" s="222"/>
      <c r="D451" s="240"/>
      <c r="E451" s="241"/>
      <c r="F451" s="241"/>
      <c r="G451" s="241"/>
      <c r="H451" s="241"/>
      <c r="I451" s="241"/>
      <c r="J451" s="241"/>
    </row>
    <row r="452" spans="1:10" x14ac:dyDescent="0.2">
      <c r="A452" s="222"/>
      <c r="B452" s="222" t="s">
        <v>501</v>
      </c>
      <c r="C452" s="222"/>
      <c r="D452" s="222"/>
      <c r="E452" s="231">
        <f t="shared" ref="E452:J452" si="75">E94</f>
        <v>176403.76</v>
      </c>
      <c r="F452" s="231">
        <f t="shared" si="75"/>
        <v>189000</v>
      </c>
      <c r="G452" s="231">
        <f t="shared" si="75"/>
        <v>189000</v>
      </c>
      <c r="H452" s="231">
        <f t="shared" si="75"/>
        <v>201700</v>
      </c>
      <c r="I452" s="231">
        <f t="shared" si="75"/>
        <v>201700</v>
      </c>
      <c r="J452" s="231">
        <f t="shared" si="75"/>
        <v>201700</v>
      </c>
    </row>
    <row r="453" spans="1:10" x14ac:dyDescent="0.2">
      <c r="A453" s="222"/>
      <c r="B453" s="222" t="s">
        <v>1457</v>
      </c>
      <c r="C453" s="222"/>
      <c r="D453" s="222"/>
      <c r="E453" s="231">
        <f t="shared" ref="E453:J453" si="76">E182</f>
        <v>495289.09</v>
      </c>
      <c r="F453" s="231">
        <f t="shared" si="76"/>
        <v>596900</v>
      </c>
      <c r="G453" s="231">
        <f t="shared" si="76"/>
        <v>596900</v>
      </c>
      <c r="H453" s="231">
        <f t="shared" si="76"/>
        <v>548800</v>
      </c>
      <c r="I453" s="231">
        <f t="shared" si="76"/>
        <v>548800</v>
      </c>
      <c r="J453" s="231">
        <f t="shared" si="76"/>
        <v>548800</v>
      </c>
    </row>
    <row r="454" spans="1:10" x14ac:dyDescent="0.2">
      <c r="A454" s="222"/>
      <c r="B454" s="222" t="s">
        <v>1458</v>
      </c>
      <c r="C454" s="222"/>
      <c r="D454" s="222"/>
      <c r="E454" s="231">
        <f t="shared" ref="E454:J454" si="77">E253</f>
        <v>130430.88</v>
      </c>
      <c r="F454" s="231">
        <f t="shared" si="77"/>
        <v>114600</v>
      </c>
      <c r="G454" s="231">
        <f t="shared" si="77"/>
        <v>114600</v>
      </c>
      <c r="H454" s="231">
        <f t="shared" si="77"/>
        <v>111600</v>
      </c>
      <c r="I454" s="231">
        <f t="shared" si="77"/>
        <v>111600</v>
      </c>
      <c r="J454" s="231">
        <f t="shared" si="77"/>
        <v>111600</v>
      </c>
    </row>
    <row r="455" spans="1:10" ht="15" customHeight="1" x14ac:dyDescent="0.2">
      <c r="A455" s="222"/>
      <c r="B455" s="222" t="s">
        <v>1459</v>
      </c>
      <c r="C455" s="222"/>
      <c r="D455" s="222"/>
      <c r="E455" s="231">
        <f t="shared" ref="E455:J455" si="78">E320</f>
        <v>71401.33</v>
      </c>
      <c r="F455" s="231">
        <f t="shared" si="78"/>
        <v>68800</v>
      </c>
      <c r="G455" s="231">
        <f t="shared" si="78"/>
        <v>68800</v>
      </c>
      <c r="H455" s="231">
        <f t="shared" si="78"/>
        <v>69700</v>
      </c>
      <c r="I455" s="231">
        <f t="shared" si="78"/>
        <v>69700</v>
      </c>
      <c r="J455" s="231">
        <f t="shared" si="78"/>
        <v>69700</v>
      </c>
    </row>
    <row r="456" spans="1:10" x14ac:dyDescent="0.2">
      <c r="A456" s="222"/>
      <c r="B456" s="233" t="s">
        <v>1460</v>
      </c>
      <c r="C456" s="233"/>
      <c r="D456" s="233"/>
      <c r="E456" s="231">
        <f t="shared" ref="E456:J456" si="79">E388</f>
        <v>26820</v>
      </c>
      <c r="F456" s="231">
        <f t="shared" si="79"/>
        <v>29000</v>
      </c>
      <c r="G456" s="231">
        <f t="shared" si="79"/>
        <v>28500</v>
      </c>
      <c r="H456" s="231">
        <f t="shared" si="79"/>
        <v>30600</v>
      </c>
      <c r="I456" s="231">
        <f t="shared" si="79"/>
        <v>30600</v>
      </c>
      <c r="J456" s="231">
        <f t="shared" si="79"/>
        <v>30600</v>
      </c>
    </row>
    <row r="457" spans="1:10" ht="15" thickBot="1" x14ac:dyDescent="0.25">
      <c r="A457" s="222"/>
      <c r="B457" s="222"/>
      <c r="C457" s="229" t="s">
        <v>388</v>
      </c>
      <c r="D457" s="240"/>
      <c r="E457" s="236">
        <f t="shared" ref="E457:J457" si="80">SUM(E452:E456)</f>
        <v>900345.06</v>
      </c>
      <c r="F457" s="236">
        <f t="shared" si="80"/>
        <v>998300</v>
      </c>
      <c r="G457" s="236">
        <f t="shared" si="80"/>
        <v>997800</v>
      </c>
      <c r="H457" s="236">
        <f>SUM(H452:H456)</f>
        <v>962400</v>
      </c>
      <c r="I457" s="236">
        <f t="shared" si="80"/>
        <v>962400</v>
      </c>
      <c r="J457" s="236">
        <f t="shared" si="80"/>
        <v>962400</v>
      </c>
    </row>
    <row r="458" spans="1:10" ht="15" customHeight="1" x14ac:dyDescent="0.2">
      <c r="A458" s="229" t="s">
        <v>198</v>
      </c>
      <c r="B458" s="229"/>
      <c r="C458" s="222"/>
      <c r="D458" s="240"/>
      <c r="E458" s="242"/>
      <c r="F458" s="242"/>
      <c r="G458" s="242"/>
      <c r="H458" s="242"/>
      <c r="I458" s="242"/>
      <c r="J458" s="242"/>
    </row>
    <row r="459" spans="1:10" x14ac:dyDescent="0.2">
      <c r="A459" s="222"/>
      <c r="B459" s="222" t="s">
        <v>501</v>
      </c>
      <c r="C459" s="222"/>
      <c r="D459" s="222"/>
      <c r="E459" s="231">
        <f t="shared" ref="E459:J459" si="81">E95</f>
        <v>0</v>
      </c>
      <c r="F459" s="231">
        <f t="shared" si="81"/>
        <v>0</v>
      </c>
      <c r="G459" s="231">
        <f t="shared" si="81"/>
        <v>0</v>
      </c>
      <c r="H459" s="231">
        <f t="shared" si="81"/>
        <v>0</v>
      </c>
      <c r="I459" s="231">
        <f t="shared" si="81"/>
        <v>0</v>
      </c>
      <c r="J459" s="231">
        <f t="shared" si="81"/>
        <v>0</v>
      </c>
    </row>
    <row r="460" spans="1:10" ht="15" customHeight="1" x14ac:dyDescent="0.2">
      <c r="A460" s="222"/>
      <c r="B460" s="222" t="s">
        <v>1457</v>
      </c>
      <c r="C460" s="222"/>
      <c r="D460" s="222"/>
      <c r="E460" s="231">
        <f t="shared" ref="E460:J460" si="82">E183</f>
        <v>40804.67</v>
      </c>
      <c r="F460" s="231">
        <f t="shared" si="82"/>
        <v>53300</v>
      </c>
      <c r="G460" s="231">
        <f t="shared" si="82"/>
        <v>53300</v>
      </c>
      <c r="H460" s="231">
        <f t="shared" si="82"/>
        <v>32300</v>
      </c>
      <c r="I460" s="231">
        <f t="shared" si="82"/>
        <v>23900</v>
      </c>
      <c r="J460" s="231">
        <f t="shared" si="82"/>
        <v>32300</v>
      </c>
    </row>
    <row r="461" spans="1:10" ht="15" customHeight="1" x14ac:dyDescent="0.2">
      <c r="A461" s="222"/>
      <c r="B461" s="222" t="s">
        <v>1458</v>
      </c>
      <c r="C461" s="222"/>
      <c r="D461" s="222"/>
      <c r="E461" s="231">
        <f t="shared" ref="E461:J461" si="83">E254</f>
        <v>0</v>
      </c>
      <c r="F461" s="231">
        <f t="shared" si="83"/>
        <v>61400</v>
      </c>
      <c r="G461" s="231">
        <f t="shared" si="83"/>
        <v>61400</v>
      </c>
      <c r="H461" s="231">
        <f t="shared" si="83"/>
        <v>0</v>
      </c>
      <c r="I461" s="231">
        <f t="shared" si="83"/>
        <v>0</v>
      </c>
      <c r="J461" s="231">
        <f t="shared" si="83"/>
        <v>0</v>
      </c>
    </row>
    <row r="462" spans="1:10" x14ac:dyDescent="0.2">
      <c r="A462" s="222"/>
      <c r="B462" s="222" t="s">
        <v>1459</v>
      </c>
      <c r="C462" s="222"/>
      <c r="D462" s="222"/>
      <c r="E462" s="231">
        <f t="shared" ref="E462:J462" si="84">E321</f>
        <v>24000</v>
      </c>
      <c r="F462" s="231">
        <f t="shared" si="84"/>
        <v>12000</v>
      </c>
      <c r="G462" s="231">
        <f t="shared" si="84"/>
        <v>12000</v>
      </c>
      <c r="H462" s="231">
        <f t="shared" si="84"/>
        <v>12000</v>
      </c>
      <c r="I462" s="231">
        <f t="shared" si="84"/>
        <v>12000</v>
      </c>
      <c r="J462" s="231">
        <f t="shared" si="84"/>
        <v>12000</v>
      </c>
    </row>
    <row r="463" spans="1:10" x14ac:dyDescent="0.2">
      <c r="A463" s="222"/>
      <c r="B463" s="233" t="s">
        <v>1460</v>
      </c>
      <c r="C463" s="233"/>
      <c r="D463" s="233"/>
      <c r="E463" s="231">
        <f t="shared" ref="E463:J463" si="85">E389</f>
        <v>8154</v>
      </c>
      <c r="F463" s="231">
        <f t="shared" si="85"/>
        <v>0</v>
      </c>
      <c r="G463" s="231">
        <f t="shared" si="85"/>
        <v>0</v>
      </c>
      <c r="H463" s="231">
        <f t="shared" si="85"/>
        <v>0</v>
      </c>
      <c r="I463" s="231">
        <f t="shared" si="85"/>
        <v>0</v>
      </c>
      <c r="J463" s="231">
        <f t="shared" si="85"/>
        <v>0</v>
      </c>
    </row>
    <row r="464" spans="1:10" ht="15" thickBot="1" x14ac:dyDescent="0.25">
      <c r="A464" s="222"/>
      <c r="B464" s="222"/>
      <c r="C464" s="229" t="s">
        <v>389</v>
      </c>
      <c r="D464" s="240"/>
      <c r="E464" s="236">
        <f t="shared" ref="E464:J464" si="86">SUM(E459:E463)</f>
        <v>72958.67</v>
      </c>
      <c r="F464" s="236">
        <f t="shared" si="86"/>
        <v>126700</v>
      </c>
      <c r="G464" s="236">
        <f t="shared" si="86"/>
        <v>126700</v>
      </c>
      <c r="H464" s="236">
        <f>SUM(H459:H463)</f>
        <v>44300</v>
      </c>
      <c r="I464" s="236">
        <f t="shared" si="86"/>
        <v>35900</v>
      </c>
      <c r="J464" s="236">
        <f t="shared" si="86"/>
        <v>44300</v>
      </c>
    </row>
    <row r="465" spans="1:10" ht="15" customHeight="1" x14ac:dyDescent="0.2">
      <c r="A465" s="243" t="s">
        <v>296</v>
      </c>
      <c r="B465" s="229"/>
      <c r="C465" s="222"/>
      <c r="D465" s="240"/>
      <c r="E465" s="242"/>
      <c r="F465" s="242"/>
      <c r="G465" s="242"/>
      <c r="H465" s="242"/>
      <c r="I465" s="242"/>
      <c r="J465" s="242"/>
    </row>
    <row r="466" spans="1:10" x14ac:dyDescent="0.2">
      <c r="A466" s="233"/>
      <c r="B466" s="222" t="s">
        <v>501</v>
      </c>
      <c r="C466" s="222"/>
      <c r="D466" s="222"/>
      <c r="E466" s="231">
        <f t="shared" ref="E466:J466" si="87">E113</f>
        <v>7537856.5500000007</v>
      </c>
      <c r="F466" s="231">
        <f t="shared" si="87"/>
        <v>8649200</v>
      </c>
      <c r="G466" s="231">
        <f t="shared" si="87"/>
        <v>7943200</v>
      </c>
      <c r="H466" s="231">
        <f t="shared" si="87"/>
        <v>7623200</v>
      </c>
      <c r="I466" s="231">
        <f t="shared" si="87"/>
        <v>7623200</v>
      </c>
      <c r="J466" s="231">
        <f t="shared" si="87"/>
        <v>7623200</v>
      </c>
    </row>
    <row r="467" spans="1:10" x14ac:dyDescent="0.2">
      <c r="A467" s="233"/>
      <c r="B467" s="222" t="s">
        <v>1457</v>
      </c>
      <c r="C467" s="222"/>
      <c r="D467" s="222"/>
      <c r="E467" s="231">
        <f t="shared" ref="E467:J467" si="88">E189</f>
        <v>2863524.88</v>
      </c>
      <c r="F467" s="231">
        <f t="shared" si="88"/>
        <v>2824200</v>
      </c>
      <c r="G467" s="231">
        <f t="shared" si="88"/>
        <v>2824200</v>
      </c>
      <c r="H467" s="231">
        <f t="shared" si="88"/>
        <v>2824200</v>
      </c>
      <c r="I467" s="231">
        <f t="shared" si="88"/>
        <v>2824200</v>
      </c>
      <c r="J467" s="231">
        <f t="shared" si="88"/>
        <v>2824200</v>
      </c>
    </row>
    <row r="468" spans="1:10" x14ac:dyDescent="0.2">
      <c r="A468" s="233"/>
      <c r="B468" s="222" t="s">
        <v>1458</v>
      </c>
      <c r="C468" s="222"/>
      <c r="D468" s="222"/>
      <c r="E468" s="231">
        <f t="shared" ref="E468:J468" si="89">E260</f>
        <v>1622624.6800000002</v>
      </c>
      <c r="F468" s="231">
        <f t="shared" si="89"/>
        <v>1650000</v>
      </c>
      <c r="G468" s="231">
        <f t="shared" si="89"/>
        <v>1541000</v>
      </c>
      <c r="H468" s="231">
        <f t="shared" si="89"/>
        <v>1585000</v>
      </c>
      <c r="I468" s="231">
        <f t="shared" si="89"/>
        <v>1585000</v>
      </c>
      <c r="J468" s="231">
        <f t="shared" si="89"/>
        <v>1585000</v>
      </c>
    </row>
    <row r="469" spans="1:10" ht="15" customHeight="1" x14ac:dyDescent="0.2">
      <c r="A469" s="233"/>
      <c r="B469" s="222" t="s">
        <v>1459</v>
      </c>
      <c r="C469" s="222"/>
      <c r="D469" s="222"/>
      <c r="E469" s="231">
        <f t="shared" ref="E469:J469" si="90">E333</f>
        <v>1228459.57</v>
      </c>
      <c r="F469" s="231">
        <f t="shared" si="90"/>
        <v>747500</v>
      </c>
      <c r="G469" s="231">
        <f t="shared" si="90"/>
        <v>764500</v>
      </c>
      <c r="H469" s="231">
        <f t="shared" si="90"/>
        <v>747500</v>
      </c>
      <c r="I469" s="231">
        <f t="shared" si="90"/>
        <v>747500</v>
      </c>
      <c r="J469" s="231">
        <f t="shared" si="90"/>
        <v>747500</v>
      </c>
    </row>
    <row r="470" spans="1:10" x14ac:dyDescent="0.2">
      <c r="A470" s="222"/>
      <c r="B470" s="233" t="s">
        <v>1460</v>
      </c>
      <c r="C470" s="233"/>
      <c r="D470" s="233"/>
      <c r="E470" s="231">
        <f t="shared" ref="E470:J470" si="91">E397</f>
        <v>72520.98</v>
      </c>
      <c r="F470" s="231">
        <f t="shared" si="91"/>
        <v>75500</v>
      </c>
      <c r="G470" s="231">
        <f t="shared" si="91"/>
        <v>75500</v>
      </c>
      <c r="H470" s="231">
        <f t="shared" si="91"/>
        <v>65500</v>
      </c>
      <c r="I470" s="231">
        <f t="shared" si="91"/>
        <v>65500</v>
      </c>
      <c r="J470" s="231">
        <f t="shared" si="91"/>
        <v>65500</v>
      </c>
    </row>
    <row r="471" spans="1:10" ht="15" thickBot="1" x14ac:dyDescent="0.25">
      <c r="A471" s="222"/>
      <c r="B471" s="222"/>
      <c r="C471" s="229" t="s">
        <v>390</v>
      </c>
      <c r="D471" s="235"/>
      <c r="E471" s="236">
        <f t="shared" ref="E471:J471" si="92">SUM(E466:E470)</f>
        <v>13324986.66</v>
      </c>
      <c r="F471" s="236">
        <f t="shared" si="92"/>
        <v>13946400</v>
      </c>
      <c r="G471" s="236">
        <f t="shared" si="92"/>
        <v>13148400</v>
      </c>
      <c r="H471" s="236">
        <f>SUM(H466:H470)</f>
        <v>12845400</v>
      </c>
      <c r="I471" s="236">
        <f t="shared" si="92"/>
        <v>12845400</v>
      </c>
      <c r="J471" s="236">
        <f t="shared" si="92"/>
        <v>12845400</v>
      </c>
    </row>
    <row r="472" spans="1:10" x14ac:dyDescent="0.2">
      <c r="A472" s="244" t="s">
        <v>15</v>
      </c>
      <c r="B472" s="222"/>
      <c r="C472" s="222"/>
      <c r="D472" s="240"/>
      <c r="E472" s="242"/>
      <c r="F472" s="242"/>
      <c r="G472" s="242"/>
      <c r="H472" s="242"/>
      <c r="I472" s="242"/>
      <c r="J472" s="242"/>
    </row>
    <row r="473" spans="1:10" x14ac:dyDescent="0.2">
      <c r="A473" s="233"/>
      <c r="B473" s="222" t="s">
        <v>501</v>
      </c>
      <c r="C473" s="222"/>
      <c r="D473" s="222"/>
      <c r="E473" s="231">
        <f t="shared" ref="E473:J473" si="93">E131</f>
        <v>2782000</v>
      </c>
      <c r="F473" s="231">
        <f t="shared" si="93"/>
        <v>7275000</v>
      </c>
      <c r="G473" s="231">
        <f t="shared" si="93"/>
        <v>14433400</v>
      </c>
      <c r="H473" s="231">
        <f t="shared" si="93"/>
        <v>13088900</v>
      </c>
      <c r="I473" s="231">
        <f t="shared" si="93"/>
        <v>1967200</v>
      </c>
      <c r="J473" s="231">
        <f t="shared" si="93"/>
        <v>0</v>
      </c>
    </row>
    <row r="474" spans="1:10" x14ac:dyDescent="0.2">
      <c r="A474" s="233"/>
      <c r="B474" s="222" t="s">
        <v>1457</v>
      </c>
      <c r="C474" s="222"/>
      <c r="D474" s="222"/>
      <c r="E474" s="231">
        <f t="shared" ref="E474:J474" si="94">E197</f>
        <v>0</v>
      </c>
      <c r="F474" s="231">
        <f t="shared" si="94"/>
        <v>0</v>
      </c>
      <c r="G474" s="231">
        <f t="shared" si="94"/>
        <v>0</v>
      </c>
      <c r="H474" s="231">
        <f t="shared" si="94"/>
        <v>0</v>
      </c>
      <c r="I474" s="231">
        <f t="shared" si="94"/>
        <v>0</v>
      </c>
      <c r="J474" s="231">
        <f t="shared" si="94"/>
        <v>0</v>
      </c>
    </row>
    <row r="475" spans="1:10" x14ac:dyDescent="0.2">
      <c r="A475" s="233"/>
      <c r="B475" s="222" t="s">
        <v>1458</v>
      </c>
      <c r="C475" s="222"/>
      <c r="D475" s="222"/>
      <c r="E475" s="231">
        <f t="shared" ref="E475:J475" si="95">E268</f>
        <v>0</v>
      </c>
      <c r="F475" s="231">
        <f t="shared" si="95"/>
        <v>0</v>
      </c>
      <c r="G475" s="231">
        <f t="shared" si="95"/>
        <v>0</v>
      </c>
      <c r="H475" s="231">
        <f t="shared" si="95"/>
        <v>0</v>
      </c>
      <c r="I475" s="231">
        <f t="shared" si="95"/>
        <v>0</v>
      </c>
      <c r="J475" s="231">
        <f t="shared" si="95"/>
        <v>0</v>
      </c>
    </row>
    <row r="476" spans="1:10" x14ac:dyDescent="0.2">
      <c r="A476" s="233"/>
      <c r="B476" s="222" t="s">
        <v>1459</v>
      </c>
      <c r="C476" s="222"/>
      <c r="D476" s="222"/>
      <c r="E476" s="231">
        <f t="shared" ref="E476:J476" si="96">E340</f>
        <v>0</v>
      </c>
      <c r="F476" s="231">
        <f t="shared" si="96"/>
        <v>0</v>
      </c>
      <c r="G476" s="231">
        <f t="shared" si="96"/>
        <v>0</v>
      </c>
      <c r="H476" s="231">
        <f t="shared" si="96"/>
        <v>0</v>
      </c>
      <c r="I476" s="231">
        <f t="shared" si="96"/>
        <v>0</v>
      </c>
      <c r="J476" s="231">
        <f t="shared" si="96"/>
        <v>0</v>
      </c>
    </row>
    <row r="477" spans="1:10" x14ac:dyDescent="0.2">
      <c r="A477" s="233"/>
      <c r="B477" s="233" t="s">
        <v>1460</v>
      </c>
      <c r="C477" s="233"/>
      <c r="D477" s="233"/>
      <c r="E477" s="231">
        <f t="shared" ref="E477:J477" si="97">E405</f>
        <v>0</v>
      </c>
      <c r="F477" s="231">
        <f t="shared" si="97"/>
        <v>0</v>
      </c>
      <c r="G477" s="231">
        <f t="shared" si="97"/>
        <v>0</v>
      </c>
      <c r="H477" s="231">
        <f t="shared" si="97"/>
        <v>0</v>
      </c>
      <c r="I477" s="231">
        <f t="shared" si="97"/>
        <v>0</v>
      </c>
      <c r="J477" s="231">
        <f t="shared" si="97"/>
        <v>0</v>
      </c>
    </row>
    <row r="478" spans="1:10" ht="15" thickBot="1" x14ac:dyDescent="0.25">
      <c r="A478" s="243"/>
      <c r="B478" s="243" t="s">
        <v>69</v>
      </c>
      <c r="C478" s="240"/>
      <c r="D478" s="222"/>
      <c r="E478" s="236">
        <f t="shared" ref="E478:J478" si="98">SUM(E473:E477)</f>
        <v>2782000</v>
      </c>
      <c r="F478" s="236">
        <f t="shared" si="98"/>
        <v>7275000</v>
      </c>
      <c r="G478" s="236">
        <f t="shared" si="98"/>
        <v>14433400</v>
      </c>
      <c r="H478" s="236">
        <f t="shared" si="98"/>
        <v>13088900</v>
      </c>
      <c r="I478" s="236">
        <f t="shared" si="98"/>
        <v>1967200</v>
      </c>
      <c r="J478" s="236">
        <f t="shared" si="98"/>
        <v>0</v>
      </c>
    </row>
    <row r="479" spans="1:10" x14ac:dyDescent="0.2">
      <c r="A479" s="222"/>
      <c r="B479" s="222"/>
      <c r="C479" s="222"/>
      <c r="D479" s="222"/>
      <c r="E479" s="242"/>
      <c r="F479" s="242"/>
      <c r="G479" s="242"/>
      <c r="H479" s="227"/>
      <c r="I479" s="227"/>
      <c r="J479" s="227"/>
    </row>
    <row r="480" spans="1:10" ht="15" thickBot="1" x14ac:dyDescent="0.25">
      <c r="A480" s="222"/>
      <c r="B480" s="222"/>
      <c r="C480" s="222"/>
      <c r="D480" s="222"/>
      <c r="E480" s="240"/>
      <c r="F480" s="276" t="s">
        <v>391</v>
      </c>
      <c r="G480" s="240"/>
      <c r="H480" s="240"/>
      <c r="I480" s="245"/>
      <c r="J480" s="245"/>
    </row>
    <row r="481" spans="1:10" ht="15" thickTop="1" x14ac:dyDescent="0.2">
      <c r="A481" s="246"/>
      <c r="B481" s="246"/>
      <c r="C481" s="246"/>
      <c r="D481" s="246"/>
      <c r="E481" s="246"/>
      <c r="F481" s="277"/>
      <c r="G481" s="246"/>
      <c r="H481" s="246"/>
      <c r="I481" s="246"/>
      <c r="J481" s="246"/>
    </row>
    <row r="482" spans="1:10" x14ac:dyDescent="0.2">
      <c r="A482" s="247"/>
      <c r="B482" s="247">
        <v>210</v>
      </c>
      <c r="C482" s="222" t="s">
        <v>7</v>
      </c>
      <c r="D482" s="222"/>
      <c r="E482" s="231">
        <f t="shared" ref="E482:J497" si="99">SUMIF($A$61:$A$978,$B482,E$61:E$978)</f>
        <v>5068749.34</v>
      </c>
      <c r="F482" s="231">
        <f t="shared" si="99"/>
        <v>5639500</v>
      </c>
      <c r="G482" s="231">
        <f t="shared" si="99"/>
        <v>5445100</v>
      </c>
      <c r="H482" s="231">
        <f t="shared" si="99"/>
        <v>5859300</v>
      </c>
      <c r="I482" s="231">
        <f t="shared" si="99"/>
        <v>6028200</v>
      </c>
      <c r="J482" s="231">
        <f t="shared" si="99"/>
        <v>6130500</v>
      </c>
    </row>
    <row r="483" spans="1:10" x14ac:dyDescent="0.2">
      <c r="A483" s="247"/>
      <c r="B483" s="247">
        <v>212</v>
      </c>
      <c r="C483" s="222" t="s">
        <v>9</v>
      </c>
      <c r="D483" s="222"/>
      <c r="E483" s="231">
        <f t="shared" si="99"/>
        <v>0</v>
      </c>
      <c r="F483" s="231">
        <f t="shared" si="99"/>
        <v>0</v>
      </c>
      <c r="G483" s="231">
        <f t="shared" si="99"/>
        <v>0</v>
      </c>
      <c r="H483" s="231">
        <f t="shared" si="99"/>
        <v>0</v>
      </c>
      <c r="I483" s="231">
        <f t="shared" si="99"/>
        <v>0</v>
      </c>
      <c r="J483" s="231">
        <f t="shared" si="99"/>
        <v>0</v>
      </c>
    </row>
    <row r="484" spans="1:10" x14ac:dyDescent="0.2">
      <c r="A484" s="247"/>
      <c r="B484" s="247">
        <v>213</v>
      </c>
      <c r="C484" s="222" t="s">
        <v>201</v>
      </c>
      <c r="D484" s="222"/>
      <c r="E484" s="231">
        <f t="shared" si="99"/>
        <v>0</v>
      </c>
      <c r="F484" s="231">
        <f t="shared" si="99"/>
        <v>0</v>
      </c>
      <c r="G484" s="231">
        <f t="shared" si="99"/>
        <v>0</v>
      </c>
      <c r="H484" s="231">
        <f t="shared" si="99"/>
        <v>0</v>
      </c>
      <c r="I484" s="231">
        <f t="shared" si="99"/>
        <v>0</v>
      </c>
      <c r="J484" s="231">
        <f t="shared" si="99"/>
        <v>0</v>
      </c>
    </row>
    <row r="485" spans="1:10" x14ac:dyDescent="0.2">
      <c r="A485" s="247"/>
      <c r="B485" s="247">
        <v>216</v>
      </c>
      <c r="C485" s="222" t="s">
        <v>10</v>
      </c>
      <c r="D485" s="222"/>
      <c r="E485" s="231">
        <f t="shared" si="99"/>
        <v>900345.06</v>
      </c>
      <c r="F485" s="231">
        <f t="shared" si="99"/>
        <v>998300</v>
      </c>
      <c r="G485" s="231">
        <f t="shared" si="99"/>
        <v>997800</v>
      </c>
      <c r="H485" s="231">
        <f t="shared" si="99"/>
        <v>962400</v>
      </c>
      <c r="I485" s="231">
        <f t="shared" si="99"/>
        <v>962400</v>
      </c>
      <c r="J485" s="231">
        <f t="shared" si="99"/>
        <v>962400</v>
      </c>
    </row>
    <row r="486" spans="1:10" x14ac:dyDescent="0.2">
      <c r="A486" s="247"/>
      <c r="B486" s="247">
        <v>218</v>
      </c>
      <c r="C486" s="222" t="s">
        <v>202</v>
      </c>
      <c r="D486" s="222"/>
      <c r="E486" s="231">
        <f t="shared" si="99"/>
        <v>72958.67</v>
      </c>
      <c r="F486" s="231">
        <f t="shared" si="99"/>
        <v>126700</v>
      </c>
      <c r="G486" s="231">
        <f t="shared" si="99"/>
        <v>126700</v>
      </c>
      <c r="H486" s="231">
        <f t="shared" si="99"/>
        <v>44300</v>
      </c>
      <c r="I486" s="231">
        <f t="shared" si="99"/>
        <v>35900</v>
      </c>
      <c r="J486" s="231">
        <f t="shared" si="99"/>
        <v>44300</v>
      </c>
    </row>
    <row r="487" spans="1:10" x14ac:dyDescent="0.2">
      <c r="A487" s="247"/>
      <c r="B487" s="247">
        <v>219</v>
      </c>
      <c r="C487" s="222" t="s">
        <v>203</v>
      </c>
      <c r="D487" s="222"/>
      <c r="E487" s="231">
        <f t="shared" si="99"/>
        <v>0</v>
      </c>
      <c r="F487" s="231">
        <f t="shared" si="99"/>
        <v>0</v>
      </c>
      <c r="G487" s="231">
        <f t="shared" si="99"/>
        <v>0</v>
      </c>
      <c r="H487" s="231">
        <f t="shared" si="99"/>
        <v>0</v>
      </c>
      <c r="I487" s="231">
        <f t="shared" si="99"/>
        <v>0</v>
      </c>
      <c r="J487" s="231">
        <f t="shared" si="99"/>
        <v>0</v>
      </c>
    </row>
    <row r="488" spans="1:10" x14ac:dyDescent="0.2">
      <c r="A488" s="247"/>
      <c r="B488" s="247">
        <v>220</v>
      </c>
      <c r="C488" s="222" t="s">
        <v>204</v>
      </c>
      <c r="D488" s="222"/>
      <c r="E488" s="231">
        <f t="shared" si="99"/>
        <v>0</v>
      </c>
      <c r="F488" s="231">
        <f t="shared" si="99"/>
        <v>0</v>
      </c>
      <c r="G488" s="231">
        <f t="shared" si="99"/>
        <v>0</v>
      </c>
      <c r="H488" s="231">
        <f t="shared" si="99"/>
        <v>0</v>
      </c>
      <c r="I488" s="231">
        <f t="shared" si="99"/>
        <v>0</v>
      </c>
      <c r="J488" s="231">
        <f t="shared" si="99"/>
        <v>0</v>
      </c>
    </row>
    <row r="489" spans="1:10" x14ac:dyDescent="0.2">
      <c r="A489" s="247"/>
      <c r="B489" s="247">
        <v>222</v>
      </c>
      <c r="C489" s="222" t="s">
        <v>205</v>
      </c>
      <c r="D489" s="222"/>
      <c r="E489" s="231">
        <f t="shared" si="99"/>
        <v>41561.75</v>
      </c>
      <c r="F489" s="231">
        <f t="shared" si="99"/>
        <v>60000</v>
      </c>
      <c r="G489" s="231">
        <f t="shared" si="99"/>
        <v>60000</v>
      </c>
      <c r="H489" s="231">
        <f t="shared" si="99"/>
        <v>40000</v>
      </c>
      <c r="I489" s="231">
        <f t="shared" si="99"/>
        <v>40000</v>
      </c>
      <c r="J489" s="231">
        <f t="shared" si="99"/>
        <v>40000</v>
      </c>
    </row>
    <row r="490" spans="1:10" x14ac:dyDescent="0.2">
      <c r="A490" s="247"/>
      <c r="B490" s="247">
        <v>224</v>
      </c>
      <c r="C490" s="222" t="s">
        <v>206</v>
      </c>
      <c r="D490" s="222"/>
      <c r="E490" s="231">
        <f t="shared" si="99"/>
        <v>544461.92999999993</v>
      </c>
      <c r="F490" s="231">
        <f t="shared" si="99"/>
        <v>680000</v>
      </c>
      <c r="G490" s="231">
        <f t="shared" si="99"/>
        <v>680000</v>
      </c>
      <c r="H490" s="231">
        <f t="shared" si="99"/>
        <v>680000</v>
      </c>
      <c r="I490" s="231">
        <f t="shared" si="99"/>
        <v>680000</v>
      </c>
      <c r="J490" s="231">
        <f t="shared" si="99"/>
        <v>680000</v>
      </c>
    </row>
    <row r="491" spans="1:10" x14ac:dyDescent="0.2">
      <c r="A491" s="247"/>
      <c r="B491" s="247">
        <v>226</v>
      </c>
      <c r="C491" s="222" t="s">
        <v>207</v>
      </c>
      <c r="D491" s="222"/>
      <c r="E491" s="231">
        <f t="shared" si="99"/>
        <v>61951.63</v>
      </c>
      <c r="F491" s="231">
        <f t="shared" si="99"/>
        <v>72000</v>
      </c>
      <c r="G491" s="231">
        <f t="shared" si="99"/>
        <v>72000</v>
      </c>
      <c r="H491" s="231">
        <f t="shared" si="99"/>
        <v>72000</v>
      </c>
      <c r="I491" s="231">
        <f t="shared" si="99"/>
        <v>72000</v>
      </c>
      <c r="J491" s="231">
        <f t="shared" si="99"/>
        <v>72000</v>
      </c>
    </row>
    <row r="492" spans="1:10" x14ac:dyDescent="0.2">
      <c r="A492" s="247"/>
      <c r="B492" s="247">
        <v>228</v>
      </c>
      <c r="C492" s="222" t="s">
        <v>208</v>
      </c>
      <c r="D492" s="222"/>
      <c r="E492" s="231">
        <f t="shared" si="99"/>
        <v>39477.61</v>
      </c>
      <c r="F492" s="231">
        <f t="shared" si="99"/>
        <v>40000</v>
      </c>
      <c r="G492" s="231">
        <f t="shared" si="99"/>
        <v>45000</v>
      </c>
      <c r="H492" s="231">
        <f t="shared" si="99"/>
        <v>45000</v>
      </c>
      <c r="I492" s="231">
        <f t="shared" si="99"/>
        <v>45000</v>
      </c>
      <c r="J492" s="231">
        <f t="shared" si="99"/>
        <v>45000</v>
      </c>
    </row>
    <row r="493" spans="1:10" x14ac:dyDescent="0.2">
      <c r="A493" s="247"/>
      <c r="B493" s="247">
        <v>229</v>
      </c>
      <c r="C493" s="222" t="s">
        <v>209</v>
      </c>
      <c r="D493" s="222"/>
      <c r="E493" s="231">
        <f t="shared" si="99"/>
        <v>98796.34</v>
      </c>
      <c r="F493" s="231">
        <f t="shared" si="99"/>
        <v>100000</v>
      </c>
      <c r="G493" s="231">
        <f t="shared" si="99"/>
        <v>100000</v>
      </c>
      <c r="H493" s="231">
        <f t="shared" si="99"/>
        <v>100000</v>
      </c>
      <c r="I493" s="231">
        <f t="shared" si="99"/>
        <v>100000</v>
      </c>
      <c r="J493" s="231">
        <f t="shared" si="99"/>
        <v>100000</v>
      </c>
    </row>
    <row r="494" spans="1:10" x14ac:dyDescent="0.2">
      <c r="A494" s="247"/>
      <c r="B494" s="247">
        <v>230</v>
      </c>
      <c r="C494" s="222" t="s">
        <v>210</v>
      </c>
      <c r="D494" s="222"/>
      <c r="E494" s="231">
        <f t="shared" si="99"/>
        <v>52820.99</v>
      </c>
      <c r="F494" s="231">
        <f t="shared" si="99"/>
        <v>49000</v>
      </c>
      <c r="G494" s="231">
        <f t="shared" si="99"/>
        <v>74000</v>
      </c>
      <c r="H494" s="231">
        <f t="shared" si="99"/>
        <v>74000</v>
      </c>
      <c r="I494" s="231">
        <f t="shared" si="99"/>
        <v>74000</v>
      </c>
      <c r="J494" s="231">
        <f t="shared" si="99"/>
        <v>74000</v>
      </c>
    </row>
    <row r="495" spans="1:10" x14ac:dyDescent="0.2">
      <c r="A495" s="247"/>
      <c r="B495" s="247">
        <v>232</v>
      </c>
      <c r="C495" s="222" t="s">
        <v>211</v>
      </c>
      <c r="D495" s="222"/>
      <c r="E495" s="231">
        <f t="shared" si="99"/>
        <v>4295095.55</v>
      </c>
      <c r="F495" s="231">
        <f t="shared" si="99"/>
        <v>4202200</v>
      </c>
      <c r="G495" s="231">
        <f t="shared" si="99"/>
        <v>4202200</v>
      </c>
      <c r="H495" s="231">
        <f t="shared" si="99"/>
        <v>4202200</v>
      </c>
      <c r="I495" s="231">
        <f t="shared" si="99"/>
        <v>4202200</v>
      </c>
      <c r="J495" s="231">
        <f t="shared" si="99"/>
        <v>4202200</v>
      </c>
    </row>
    <row r="496" spans="1:10" x14ac:dyDescent="0.2">
      <c r="A496" s="247"/>
      <c r="B496" s="247">
        <v>234</v>
      </c>
      <c r="C496" s="222" t="s">
        <v>212</v>
      </c>
      <c r="D496" s="222"/>
      <c r="E496" s="231">
        <f t="shared" si="99"/>
        <v>0</v>
      </c>
      <c r="F496" s="231">
        <f t="shared" si="99"/>
        <v>0</v>
      </c>
      <c r="G496" s="231">
        <f t="shared" si="99"/>
        <v>0</v>
      </c>
      <c r="H496" s="231">
        <f t="shared" si="99"/>
        <v>0</v>
      </c>
      <c r="I496" s="231">
        <f t="shared" si="99"/>
        <v>0</v>
      </c>
      <c r="J496" s="231">
        <f t="shared" si="99"/>
        <v>0</v>
      </c>
    </row>
    <row r="497" spans="1:10" x14ac:dyDescent="0.2">
      <c r="A497" s="247"/>
      <c r="B497" s="247">
        <v>236</v>
      </c>
      <c r="C497" s="222" t="s">
        <v>213</v>
      </c>
      <c r="D497" s="222"/>
      <c r="E497" s="231">
        <f t="shared" si="99"/>
        <v>94004.82</v>
      </c>
      <c r="F497" s="231">
        <f t="shared" si="99"/>
        <v>92000</v>
      </c>
      <c r="G497" s="231">
        <f t="shared" si="99"/>
        <v>98000</v>
      </c>
      <c r="H497" s="231">
        <f t="shared" si="99"/>
        <v>90000</v>
      </c>
      <c r="I497" s="231">
        <f t="shared" si="99"/>
        <v>90000</v>
      </c>
      <c r="J497" s="231">
        <f t="shared" si="99"/>
        <v>90000</v>
      </c>
    </row>
    <row r="498" spans="1:10" x14ac:dyDescent="0.2">
      <c r="A498" s="247"/>
      <c r="B498" s="247">
        <v>238</v>
      </c>
      <c r="C498" s="222" t="s">
        <v>214</v>
      </c>
      <c r="D498" s="222"/>
      <c r="E498" s="231">
        <f t="shared" ref="E498:J513" si="100">SUMIF($A$61:$A$978,$B498,E$61:E$978)</f>
        <v>94733.45</v>
      </c>
      <c r="F498" s="231">
        <f t="shared" si="100"/>
        <v>110000</v>
      </c>
      <c r="G498" s="231">
        <f t="shared" si="100"/>
        <v>102000</v>
      </c>
      <c r="H498" s="231">
        <f t="shared" si="100"/>
        <v>110000</v>
      </c>
      <c r="I498" s="231">
        <f t="shared" si="100"/>
        <v>110000</v>
      </c>
      <c r="J498" s="231">
        <f t="shared" si="100"/>
        <v>110000</v>
      </c>
    </row>
    <row r="499" spans="1:10" x14ac:dyDescent="0.2">
      <c r="A499" s="247"/>
      <c r="B499" s="247">
        <v>240</v>
      </c>
      <c r="C499" s="222" t="s">
        <v>215</v>
      </c>
      <c r="D499" s="222"/>
      <c r="E499" s="231">
        <f t="shared" si="100"/>
        <v>0</v>
      </c>
      <c r="F499" s="231">
        <f t="shared" si="100"/>
        <v>0</v>
      </c>
      <c r="G499" s="231">
        <f t="shared" si="100"/>
        <v>0</v>
      </c>
      <c r="H499" s="231">
        <f t="shared" si="100"/>
        <v>0</v>
      </c>
      <c r="I499" s="231">
        <f t="shared" si="100"/>
        <v>0</v>
      </c>
      <c r="J499" s="231">
        <f t="shared" si="100"/>
        <v>0</v>
      </c>
    </row>
    <row r="500" spans="1:10" x14ac:dyDescent="0.2">
      <c r="A500" s="247"/>
      <c r="B500" s="247">
        <v>242</v>
      </c>
      <c r="C500" s="222" t="s">
        <v>216</v>
      </c>
      <c r="D500" s="222"/>
      <c r="E500" s="231">
        <f t="shared" si="100"/>
        <v>38665.760000000002</v>
      </c>
      <c r="F500" s="231">
        <f t="shared" si="100"/>
        <v>40000</v>
      </c>
      <c r="G500" s="231">
        <f t="shared" si="100"/>
        <v>40000</v>
      </c>
      <c r="H500" s="231">
        <f t="shared" si="100"/>
        <v>30000</v>
      </c>
      <c r="I500" s="231">
        <f t="shared" si="100"/>
        <v>30000</v>
      </c>
      <c r="J500" s="231">
        <f t="shared" si="100"/>
        <v>30000</v>
      </c>
    </row>
    <row r="501" spans="1:10" x14ac:dyDescent="0.2">
      <c r="A501" s="247"/>
      <c r="B501" s="247">
        <v>244</v>
      </c>
      <c r="C501" s="222" t="s">
        <v>217</v>
      </c>
      <c r="D501" s="222"/>
      <c r="E501" s="231">
        <f t="shared" si="100"/>
        <v>0</v>
      </c>
      <c r="F501" s="231">
        <f t="shared" si="100"/>
        <v>0</v>
      </c>
      <c r="G501" s="231">
        <f t="shared" si="100"/>
        <v>0</v>
      </c>
      <c r="H501" s="231">
        <f t="shared" si="100"/>
        <v>0</v>
      </c>
      <c r="I501" s="231">
        <f t="shared" si="100"/>
        <v>0</v>
      </c>
      <c r="J501" s="231">
        <f t="shared" si="100"/>
        <v>0</v>
      </c>
    </row>
    <row r="502" spans="1:10" x14ac:dyDescent="0.2">
      <c r="A502" s="247"/>
      <c r="B502" s="247">
        <v>246</v>
      </c>
      <c r="C502" s="222" t="s">
        <v>218</v>
      </c>
      <c r="D502" s="222"/>
      <c r="E502" s="231">
        <f t="shared" si="100"/>
        <v>25408.35</v>
      </c>
      <c r="F502" s="231">
        <f t="shared" si="100"/>
        <v>20500</v>
      </c>
      <c r="G502" s="231">
        <f t="shared" si="100"/>
        <v>23500</v>
      </c>
      <c r="H502" s="231">
        <f t="shared" si="100"/>
        <v>20500</v>
      </c>
      <c r="I502" s="231">
        <f t="shared" si="100"/>
        <v>20500</v>
      </c>
      <c r="J502" s="231">
        <f t="shared" si="100"/>
        <v>20500</v>
      </c>
    </row>
    <row r="503" spans="1:10" x14ac:dyDescent="0.2">
      <c r="A503" s="247"/>
      <c r="B503" s="247">
        <v>247</v>
      </c>
      <c r="C503" s="222" t="s">
        <v>219</v>
      </c>
      <c r="D503" s="222"/>
      <c r="E503" s="231">
        <f t="shared" si="100"/>
        <v>0</v>
      </c>
      <c r="F503" s="231">
        <f t="shared" si="100"/>
        <v>0</v>
      </c>
      <c r="G503" s="231">
        <f t="shared" si="100"/>
        <v>0</v>
      </c>
      <c r="H503" s="231">
        <f t="shared" si="100"/>
        <v>0</v>
      </c>
      <c r="I503" s="231">
        <f t="shared" si="100"/>
        <v>0</v>
      </c>
      <c r="J503" s="231">
        <f t="shared" si="100"/>
        <v>0</v>
      </c>
    </row>
    <row r="504" spans="1:10" x14ac:dyDescent="0.2">
      <c r="A504" s="247"/>
      <c r="B504" s="247">
        <v>260</v>
      </c>
      <c r="C504" s="222" t="s">
        <v>220</v>
      </c>
      <c r="D504" s="222"/>
      <c r="E504" s="231">
        <f t="shared" si="100"/>
        <v>953920.73</v>
      </c>
      <c r="F504" s="231">
        <f t="shared" si="100"/>
        <v>1082200</v>
      </c>
      <c r="G504" s="231">
        <f t="shared" si="100"/>
        <v>1082200</v>
      </c>
      <c r="H504" s="231">
        <f t="shared" si="100"/>
        <v>1082200</v>
      </c>
      <c r="I504" s="231">
        <f t="shared" si="100"/>
        <v>1082200</v>
      </c>
      <c r="J504" s="231">
        <f t="shared" si="100"/>
        <v>1082200</v>
      </c>
    </row>
    <row r="505" spans="1:10" x14ac:dyDescent="0.2">
      <c r="A505" s="247"/>
      <c r="B505" s="247">
        <v>261</v>
      </c>
      <c r="C505" s="222" t="s">
        <v>221</v>
      </c>
      <c r="D505" s="222"/>
      <c r="E505" s="231">
        <f t="shared" si="100"/>
        <v>6495300</v>
      </c>
      <c r="F505" s="231">
        <f t="shared" si="100"/>
        <v>6828000</v>
      </c>
      <c r="G505" s="231">
        <f t="shared" si="100"/>
        <v>6030000</v>
      </c>
      <c r="H505" s="231">
        <f t="shared" si="100"/>
        <v>5800000</v>
      </c>
      <c r="I505" s="231">
        <f t="shared" si="100"/>
        <v>5800000</v>
      </c>
      <c r="J505" s="231">
        <f t="shared" si="100"/>
        <v>5800000</v>
      </c>
    </row>
    <row r="506" spans="1:10" x14ac:dyDescent="0.2">
      <c r="A506" s="247"/>
      <c r="B506" s="247">
        <v>265</v>
      </c>
      <c r="C506" s="222" t="s">
        <v>222</v>
      </c>
      <c r="D506" s="222"/>
      <c r="E506" s="231">
        <f t="shared" si="100"/>
        <v>0</v>
      </c>
      <c r="F506" s="231">
        <f t="shared" si="100"/>
        <v>0</v>
      </c>
      <c r="G506" s="231">
        <f t="shared" si="100"/>
        <v>0</v>
      </c>
      <c r="H506" s="231">
        <f t="shared" si="100"/>
        <v>0</v>
      </c>
      <c r="I506" s="231">
        <f t="shared" si="100"/>
        <v>0</v>
      </c>
      <c r="J506" s="231">
        <f t="shared" si="100"/>
        <v>0</v>
      </c>
    </row>
    <row r="507" spans="1:10" x14ac:dyDescent="0.2">
      <c r="A507" s="247"/>
      <c r="B507" s="247">
        <v>266</v>
      </c>
      <c r="C507" s="222" t="s">
        <v>223</v>
      </c>
      <c r="D507" s="222"/>
      <c r="E507" s="231">
        <f t="shared" si="100"/>
        <v>0</v>
      </c>
      <c r="F507" s="231">
        <f t="shared" si="100"/>
        <v>0</v>
      </c>
      <c r="G507" s="231">
        <f t="shared" si="100"/>
        <v>0</v>
      </c>
      <c r="H507" s="231">
        <f t="shared" si="100"/>
        <v>0</v>
      </c>
      <c r="I507" s="231">
        <f t="shared" si="100"/>
        <v>0</v>
      </c>
      <c r="J507" s="231">
        <f t="shared" si="100"/>
        <v>0</v>
      </c>
    </row>
    <row r="508" spans="1:10" x14ac:dyDescent="0.2">
      <c r="A508" s="247"/>
      <c r="B508" s="247">
        <v>270</v>
      </c>
      <c r="C508" s="222" t="s">
        <v>224</v>
      </c>
      <c r="D508" s="222"/>
      <c r="E508" s="231">
        <f t="shared" si="100"/>
        <v>0</v>
      </c>
      <c r="F508" s="231">
        <f t="shared" si="100"/>
        <v>0</v>
      </c>
      <c r="G508" s="231">
        <f t="shared" si="100"/>
        <v>0</v>
      </c>
      <c r="H508" s="231">
        <f t="shared" si="100"/>
        <v>0</v>
      </c>
      <c r="I508" s="231">
        <f t="shared" si="100"/>
        <v>0</v>
      </c>
      <c r="J508" s="231">
        <f t="shared" si="100"/>
        <v>0</v>
      </c>
    </row>
    <row r="509" spans="1:10" x14ac:dyDescent="0.2">
      <c r="A509" s="247"/>
      <c r="B509" s="247">
        <v>272</v>
      </c>
      <c r="C509" s="222" t="s">
        <v>225</v>
      </c>
      <c r="D509" s="222"/>
      <c r="E509" s="231">
        <f t="shared" si="100"/>
        <v>0</v>
      </c>
      <c r="F509" s="231">
        <f t="shared" si="100"/>
        <v>10000</v>
      </c>
      <c r="G509" s="231">
        <f t="shared" si="100"/>
        <v>10000</v>
      </c>
      <c r="H509" s="231">
        <f t="shared" si="100"/>
        <v>10000</v>
      </c>
      <c r="I509" s="231">
        <f t="shared" si="100"/>
        <v>10000</v>
      </c>
      <c r="J509" s="231">
        <f t="shared" si="100"/>
        <v>10000</v>
      </c>
    </row>
    <row r="510" spans="1:10" x14ac:dyDescent="0.2">
      <c r="A510" s="247"/>
      <c r="B510" s="247">
        <v>273</v>
      </c>
      <c r="C510" s="222" t="s">
        <v>226</v>
      </c>
      <c r="D510" s="222"/>
      <c r="E510" s="231">
        <f t="shared" si="100"/>
        <v>0</v>
      </c>
      <c r="F510" s="231">
        <f t="shared" si="100"/>
        <v>0</v>
      </c>
      <c r="G510" s="231">
        <f t="shared" si="100"/>
        <v>0</v>
      </c>
      <c r="H510" s="231">
        <f t="shared" si="100"/>
        <v>0</v>
      </c>
      <c r="I510" s="231">
        <f t="shared" si="100"/>
        <v>0</v>
      </c>
      <c r="J510" s="231">
        <f t="shared" si="100"/>
        <v>0</v>
      </c>
    </row>
    <row r="511" spans="1:10" x14ac:dyDescent="0.2">
      <c r="A511" s="247"/>
      <c r="B511" s="247">
        <v>274</v>
      </c>
      <c r="C511" s="222" t="s">
        <v>227</v>
      </c>
      <c r="D511" s="222"/>
      <c r="E511" s="231">
        <f t="shared" si="100"/>
        <v>0</v>
      </c>
      <c r="F511" s="231">
        <f t="shared" si="100"/>
        <v>0</v>
      </c>
      <c r="G511" s="231">
        <f t="shared" si="100"/>
        <v>0</v>
      </c>
      <c r="H511" s="231">
        <f t="shared" si="100"/>
        <v>0</v>
      </c>
      <c r="I511" s="231">
        <f t="shared" si="100"/>
        <v>0</v>
      </c>
      <c r="J511" s="231">
        <f t="shared" si="100"/>
        <v>0</v>
      </c>
    </row>
    <row r="512" spans="1:10" x14ac:dyDescent="0.2">
      <c r="A512" s="247"/>
      <c r="B512" s="247">
        <v>275</v>
      </c>
      <c r="C512" s="222" t="s">
        <v>228</v>
      </c>
      <c r="D512" s="222"/>
      <c r="E512" s="231">
        <f t="shared" si="100"/>
        <v>16126.04</v>
      </c>
      <c r="F512" s="231">
        <f t="shared" si="100"/>
        <v>25500</v>
      </c>
      <c r="G512" s="231">
        <f t="shared" si="100"/>
        <v>53500</v>
      </c>
      <c r="H512" s="231">
        <f t="shared" si="100"/>
        <v>39500</v>
      </c>
      <c r="I512" s="231">
        <f t="shared" si="100"/>
        <v>39500</v>
      </c>
      <c r="J512" s="231">
        <f t="shared" si="100"/>
        <v>39500</v>
      </c>
    </row>
    <row r="513" spans="1:10" x14ac:dyDescent="0.2">
      <c r="A513" s="247"/>
      <c r="B513" s="247">
        <v>276</v>
      </c>
      <c r="C513" s="222" t="s">
        <v>229</v>
      </c>
      <c r="D513" s="222"/>
      <c r="E513" s="231">
        <f t="shared" si="100"/>
        <v>0</v>
      </c>
      <c r="F513" s="231">
        <f t="shared" si="100"/>
        <v>0</v>
      </c>
      <c r="G513" s="231">
        <f t="shared" si="100"/>
        <v>0</v>
      </c>
      <c r="H513" s="231">
        <f t="shared" si="100"/>
        <v>0</v>
      </c>
      <c r="I513" s="231">
        <f t="shared" si="100"/>
        <v>0</v>
      </c>
      <c r="J513" s="231">
        <f t="shared" si="100"/>
        <v>0</v>
      </c>
    </row>
    <row r="514" spans="1:10" x14ac:dyDescent="0.2">
      <c r="A514" s="247"/>
      <c r="B514" s="247">
        <v>277</v>
      </c>
      <c r="C514" s="222" t="s">
        <v>230</v>
      </c>
      <c r="D514" s="222"/>
      <c r="E514" s="231">
        <f t="shared" ref="E514:J525" si="101">SUMIF($A$61:$A$978,$B514,E$61:E$978)</f>
        <v>0</v>
      </c>
      <c r="F514" s="231">
        <f t="shared" si="101"/>
        <v>0</v>
      </c>
      <c r="G514" s="231">
        <f t="shared" si="101"/>
        <v>0</v>
      </c>
      <c r="H514" s="231">
        <f t="shared" si="101"/>
        <v>0</v>
      </c>
      <c r="I514" s="231">
        <f t="shared" si="101"/>
        <v>0</v>
      </c>
      <c r="J514" s="231">
        <f t="shared" si="101"/>
        <v>0</v>
      </c>
    </row>
    <row r="515" spans="1:10" x14ac:dyDescent="0.2">
      <c r="A515" s="247"/>
      <c r="B515" s="247">
        <v>278</v>
      </c>
      <c r="C515" s="222" t="s">
        <v>231</v>
      </c>
      <c r="D515" s="222"/>
      <c r="E515" s="231">
        <f t="shared" si="101"/>
        <v>0</v>
      </c>
      <c r="F515" s="231">
        <f t="shared" si="101"/>
        <v>0</v>
      </c>
      <c r="G515" s="231">
        <f t="shared" si="101"/>
        <v>0</v>
      </c>
      <c r="H515" s="231">
        <f t="shared" si="101"/>
        <v>0</v>
      </c>
      <c r="I515" s="231">
        <f t="shared" si="101"/>
        <v>0</v>
      </c>
      <c r="J515" s="231">
        <f t="shared" si="101"/>
        <v>0</v>
      </c>
    </row>
    <row r="516" spans="1:10" x14ac:dyDescent="0.2">
      <c r="A516" s="247"/>
      <c r="B516" s="247">
        <v>279</v>
      </c>
      <c r="C516" s="222" t="s">
        <v>232</v>
      </c>
      <c r="D516" s="222"/>
      <c r="E516" s="231">
        <f t="shared" si="101"/>
        <v>0</v>
      </c>
      <c r="F516" s="231">
        <f t="shared" si="101"/>
        <v>0</v>
      </c>
      <c r="G516" s="231">
        <f t="shared" si="101"/>
        <v>0</v>
      </c>
      <c r="H516" s="231">
        <f t="shared" si="101"/>
        <v>0</v>
      </c>
      <c r="I516" s="231">
        <f t="shared" si="101"/>
        <v>0</v>
      </c>
      <c r="J516" s="231">
        <f t="shared" si="101"/>
        <v>0</v>
      </c>
    </row>
    <row r="517" spans="1:10" x14ac:dyDescent="0.2">
      <c r="A517" s="247"/>
      <c r="B517" s="247">
        <v>280</v>
      </c>
      <c r="C517" s="222" t="s">
        <v>233</v>
      </c>
      <c r="D517" s="222"/>
      <c r="E517" s="231">
        <f t="shared" si="101"/>
        <v>0</v>
      </c>
      <c r="F517" s="231">
        <f t="shared" si="101"/>
        <v>0</v>
      </c>
      <c r="G517" s="231">
        <f t="shared" si="101"/>
        <v>0</v>
      </c>
      <c r="H517" s="231">
        <f t="shared" si="101"/>
        <v>0</v>
      </c>
      <c r="I517" s="231">
        <f t="shared" si="101"/>
        <v>0</v>
      </c>
      <c r="J517" s="231">
        <f t="shared" si="101"/>
        <v>0</v>
      </c>
    </row>
    <row r="518" spans="1:10" x14ac:dyDescent="0.2">
      <c r="A518" s="247"/>
      <c r="B518" s="247">
        <v>281</v>
      </c>
      <c r="C518" s="222" t="s">
        <v>234</v>
      </c>
      <c r="D518" s="222"/>
      <c r="E518" s="231">
        <f t="shared" si="101"/>
        <v>29955.95</v>
      </c>
      <c r="F518" s="231">
        <f t="shared" si="101"/>
        <v>30000</v>
      </c>
      <c r="G518" s="231">
        <f t="shared" si="101"/>
        <v>30000</v>
      </c>
      <c r="H518" s="231">
        <f t="shared" si="101"/>
        <v>30000</v>
      </c>
      <c r="I518" s="231">
        <f t="shared" si="101"/>
        <v>30000</v>
      </c>
      <c r="J518" s="231">
        <f t="shared" si="101"/>
        <v>30000</v>
      </c>
    </row>
    <row r="519" spans="1:10" x14ac:dyDescent="0.2">
      <c r="A519" s="247"/>
      <c r="B519" s="247">
        <v>282</v>
      </c>
      <c r="C519" s="222" t="s">
        <v>235</v>
      </c>
      <c r="D519" s="222"/>
      <c r="E519" s="231">
        <f t="shared" si="101"/>
        <v>104995.69</v>
      </c>
      <c r="F519" s="231">
        <f t="shared" si="101"/>
        <v>75000</v>
      </c>
      <c r="G519" s="231">
        <f t="shared" si="101"/>
        <v>125000</v>
      </c>
      <c r="H519" s="231">
        <f t="shared" si="101"/>
        <v>80000</v>
      </c>
      <c r="I519" s="231">
        <f t="shared" si="101"/>
        <v>80000</v>
      </c>
      <c r="J519" s="231">
        <f t="shared" si="101"/>
        <v>80000</v>
      </c>
    </row>
    <row r="520" spans="1:10" x14ac:dyDescent="0.2">
      <c r="A520" s="247"/>
      <c r="B520" s="247">
        <v>283</v>
      </c>
      <c r="C520" s="222" t="s">
        <v>236</v>
      </c>
      <c r="D520" s="222"/>
      <c r="E520" s="231">
        <f t="shared" si="101"/>
        <v>337710.07</v>
      </c>
      <c r="F520" s="231">
        <f t="shared" si="101"/>
        <v>430000</v>
      </c>
      <c r="G520" s="231">
        <f t="shared" si="101"/>
        <v>321000</v>
      </c>
      <c r="H520" s="231">
        <f t="shared" si="101"/>
        <v>340000</v>
      </c>
      <c r="I520" s="231">
        <f t="shared" si="101"/>
        <v>340000</v>
      </c>
      <c r="J520" s="231">
        <f t="shared" si="101"/>
        <v>340000</v>
      </c>
    </row>
    <row r="521" spans="1:10" x14ac:dyDescent="0.2">
      <c r="A521" s="247"/>
      <c r="B521" s="247">
        <v>290</v>
      </c>
      <c r="C521" s="222" t="s">
        <v>238</v>
      </c>
      <c r="D521" s="222"/>
      <c r="E521" s="231">
        <f t="shared" si="101"/>
        <v>0</v>
      </c>
      <c r="F521" s="231">
        <f t="shared" si="101"/>
        <v>0</v>
      </c>
      <c r="G521" s="231">
        <f t="shared" si="101"/>
        <v>0</v>
      </c>
      <c r="H521" s="231">
        <f t="shared" si="101"/>
        <v>0</v>
      </c>
      <c r="I521" s="231">
        <f t="shared" si="101"/>
        <v>0</v>
      </c>
      <c r="J521" s="231">
        <f t="shared" si="101"/>
        <v>0</v>
      </c>
    </row>
    <row r="522" spans="1:10" x14ac:dyDescent="0.2">
      <c r="A522" s="247"/>
      <c r="B522" s="247">
        <v>292</v>
      </c>
      <c r="C522" s="222" t="s">
        <v>239</v>
      </c>
      <c r="D522" s="222"/>
      <c r="E522" s="231">
        <f t="shared" si="101"/>
        <v>0</v>
      </c>
      <c r="F522" s="231">
        <f t="shared" si="101"/>
        <v>0</v>
      </c>
      <c r="G522" s="231">
        <f t="shared" si="101"/>
        <v>0</v>
      </c>
      <c r="H522" s="231">
        <f t="shared" si="101"/>
        <v>0</v>
      </c>
      <c r="I522" s="231">
        <f t="shared" si="101"/>
        <v>0</v>
      </c>
      <c r="J522" s="231">
        <f t="shared" si="101"/>
        <v>0</v>
      </c>
    </row>
    <row r="523" spans="1:10" x14ac:dyDescent="0.2">
      <c r="A523" s="247"/>
      <c r="B523" s="247">
        <v>293</v>
      </c>
      <c r="C523" s="222" t="s">
        <v>240</v>
      </c>
      <c r="D523" s="222"/>
      <c r="E523" s="231">
        <f t="shared" si="101"/>
        <v>0</v>
      </c>
      <c r="F523" s="231">
        <f t="shared" si="101"/>
        <v>0</v>
      </c>
      <c r="G523" s="231">
        <f t="shared" si="101"/>
        <v>0</v>
      </c>
      <c r="H523" s="231">
        <f t="shared" si="101"/>
        <v>0</v>
      </c>
      <c r="I523" s="231">
        <f t="shared" si="101"/>
        <v>0</v>
      </c>
      <c r="J523" s="231">
        <f t="shared" si="101"/>
        <v>0</v>
      </c>
    </row>
    <row r="524" spans="1:10" x14ac:dyDescent="0.2">
      <c r="A524" s="222"/>
      <c r="B524" s="247"/>
      <c r="C524" s="229" t="s">
        <v>1587</v>
      </c>
      <c r="D524" s="240"/>
      <c r="E524" s="248">
        <f t="shared" ref="E524:J524" si="102">SUM(E482:E523)</f>
        <v>19367039.73</v>
      </c>
      <c r="F524" s="248">
        <f t="shared" si="102"/>
        <v>20710900</v>
      </c>
      <c r="G524" s="248">
        <f t="shared" si="102"/>
        <v>19718000</v>
      </c>
      <c r="H524" s="248">
        <f t="shared" si="102"/>
        <v>19711400</v>
      </c>
      <c r="I524" s="248">
        <f t="shared" si="102"/>
        <v>19871900</v>
      </c>
      <c r="J524" s="248">
        <f t="shared" si="102"/>
        <v>19982600</v>
      </c>
    </row>
    <row r="526" spans="1:10" ht="15" customHeight="1" x14ac:dyDescent="0.2"/>
    <row r="531" ht="22.5" customHeight="1" x14ac:dyDescent="0.2"/>
    <row r="532" ht="15" customHeight="1" x14ac:dyDescent="0.2"/>
    <row r="540" ht="15" customHeight="1" x14ac:dyDescent="0.2"/>
  </sheetData>
  <mergeCells count="479">
    <mergeCell ref="A429:E429"/>
    <mergeCell ref="A430:E430"/>
    <mergeCell ref="A431:E431"/>
    <mergeCell ref="A432:E432"/>
    <mergeCell ref="A433:J433"/>
    <mergeCell ref="A423:J423"/>
    <mergeCell ref="A424:E424"/>
    <mergeCell ref="A425:E425"/>
    <mergeCell ref="A426:E426"/>
    <mergeCell ref="A427:E427"/>
    <mergeCell ref="A428:J428"/>
    <mergeCell ref="A417:J417"/>
    <mergeCell ref="A418:J418"/>
    <mergeCell ref="A419:J419"/>
    <mergeCell ref="A420:J420"/>
    <mergeCell ref="A421:J421"/>
    <mergeCell ref="A422:E422"/>
    <mergeCell ref="A411:I411"/>
    <mergeCell ref="A412:J412"/>
    <mergeCell ref="A413:J413"/>
    <mergeCell ref="A414:J414"/>
    <mergeCell ref="A415:J415"/>
    <mergeCell ref="A416:J416"/>
    <mergeCell ref="A407:J407"/>
    <mergeCell ref="A408:C408"/>
    <mergeCell ref="F408:H408"/>
    <mergeCell ref="A409:C409"/>
    <mergeCell ref="F409:H409"/>
    <mergeCell ref="A410:C410"/>
    <mergeCell ref="F410:H410"/>
    <mergeCell ref="J401:J402"/>
    <mergeCell ref="C402:D402"/>
    <mergeCell ref="C403:D403"/>
    <mergeCell ref="C404:D404"/>
    <mergeCell ref="A405:D405"/>
    <mergeCell ref="A406:J406"/>
    <mergeCell ref="A401:D401"/>
    <mergeCell ref="E401:E402"/>
    <mergeCell ref="F401:F402"/>
    <mergeCell ref="G401:G402"/>
    <mergeCell ref="H401:H402"/>
    <mergeCell ref="I401:I402"/>
    <mergeCell ref="B395:D395"/>
    <mergeCell ref="B396:D396"/>
    <mergeCell ref="A397:D397"/>
    <mergeCell ref="A398:D398"/>
    <mergeCell ref="A399:I399"/>
    <mergeCell ref="A400:J400"/>
    <mergeCell ref="B389:D389"/>
    <mergeCell ref="A390:D390"/>
    <mergeCell ref="A391:I391"/>
    <mergeCell ref="B392:D392"/>
    <mergeCell ref="B393:D393"/>
    <mergeCell ref="B394:D394"/>
    <mergeCell ref="A383:J383"/>
    <mergeCell ref="B384:D384"/>
    <mergeCell ref="A385:I385"/>
    <mergeCell ref="B386:D386"/>
    <mergeCell ref="B387:D387"/>
    <mergeCell ref="B388:D388"/>
    <mergeCell ref="A377:J377"/>
    <mergeCell ref="A378:J378"/>
    <mergeCell ref="B379:D379"/>
    <mergeCell ref="B380:D380"/>
    <mergeCell ref="A381:D381"/>
    <mergeCell ref="A382:J382"/>
    <mergeCell ref="A371:J371"/>
    <mergeCell ref="A372:E372"/>
    <mergeCell ref="A373:E373"/>
    <mergeCell ref="A374:J374"/>
    <mergeCell ref="A375:J375"/>
    <mergeCell ref="A376:C376"/>
    <mergeCell ref="D376:J376"/>
    <mergeCell ref="A365:J365"/>
    <mergeCell ref="A366:E366"/>
    <mergeCell ref="A367:J367"/>
    <mergeCell ref="A368:E368"/>
    <mergeCell ref="A369:E369"/>
    <mergeCell ref="A370:E370"/>
    <mergeCell ref="A359:J359"/>
    <mergeCell ref="A360:J360"/>
    <mergeCell ref="A361:J361"/>
    <mergeCell ref="A362:J362"/>
    <mergeCell ref="A363:J363"/>
    <mergeCell ref="A364:J364"/>
    <mergeCell ref="A353:J353"/>
    <mergeCell ref="A354:J354"/>
    <mergeCell ref="A355:J355"/>
    <mergeCell ref="A356:J356"/>
    <mergeCell ref="A357:J357"/>
    <mergeCell ref="A358:J358"/>
    <mergeCell ref="A349:C349"/>
    <mergeCell ref="F349:H349"/>
    <mergeCell ref="A350:C350"/>
    <mergeCell ref="F350:H350"/>
    <mergeCell ref="A351:I351"/>
    <mergeCell ref="A352:J352"/>
    <mergeCell ref="A346:C346"/>
    <mergeCell ref="F346:H346"/>
    <mergeCell ref="A347:C347"/>
    <mergeCell ref="F347:H347"/>
    <mergeCell ref="A348:C348"/>
    <mergeCell ref="F348:H348"/>
    <mergeCell ref="A343:C343"/>
    <mergeCell ref="F343:H343"/>
    <mergeCell ref="A344:C344"/>
    <mergeCell ref="F344:H344"/>
    <mergeCell ref="A345:C345"/>
    <mergeCell ref="F345:H345"/>
    <mergeCell ref="C337:D337"/>
    <mergeCell ref="C338:D338"/>
    <mergeCell ref="C339:D339"/>
    <mergeCell ref="A340:D340"/>
    <mergeCell ref="A341:J341"/>
    <mergeCell ref="A342:J342"/>
    <mergeCell ref="A333:D333"/>
    <mergeCell ref="A334:D334"/>
    <mergeCell ref="A335:J335"/>
    <mergeCell ref="A336:D336"/>
    <mergeCell ref="E336:E337"/>
    <mergeCell ref="F336:F337"/>
    <mergeCell ref="G336:G337"/>
    <mergeCell ref="H336:H337"/>
    <mergeCell ref="I336:I337"/>
    <mergeCell ref="J336:J337"/>
    <mergeCell ref="B327:D327"/>
    <mergeCell ref="B328:D328"/>
    <mergeCell ref="B329:D329"/>
    <mergeCell ref="B330:D330"/>
    <mergeCell ref="B331:D331"/>
    <mergeCell ref="B332:D332"/>
    <mergeCell ref="B321:D321"/>
    <mergeCell ref="A322:D322"/>
    <mergeCell ref="A323:I323"/>
    <mergeCell ref="B324:D324"/>
    <mergeCell ref="B325:D325"/>
    <mergeCell ref="B326:D326"/>
    <mergeCell ref="A315:J315"/>
    <mergeCell ref="B316:D316"/>
    <mergeCell ref="A317:I317"/>
    <mergeCell ref="B318:D318"/>
    <mergeCell ref="B319:D319"/>
    <mergeCell ref="B320:D320"/>
    <mergeCell ref="B309:D309"/>
    <mergeCell ref="B310:D310"/>
    <mergeCell ref="B311:D311"/>
    <mergeCell ref="B312:D312"/>
    <mergeCell ref="A313:D313"/>
    <mergeCell ref="A314:J314"/>
    <mergeCell ref="A303:J303"/>
    <mergeCell ref="A304:J304"/>
    <mergeCell ref="A305:J305"/>
    <mergeCell ref="A306:J306"/>
    <mergeCell ref="B307:D307"/>
    <mergeCell ref="B308:D308"/>
    <mergeCell ref="A297:J297"/>
    <mergeCell ref="A298:J298"/>
    <mergeCell ref="A299:E299"/>
    <mergeCell ref="A300:E300"/>
    <mergeCell ref="A301:E301"/>
    <mergeCell ref="A302:J302"/>
    <mergeCell ref="A291:J291"/>
    <mergeCell ref="A292:E292"/>
    <mergeCell ref="A293:J293"/>
    <mergeCell ref="A294:E294"/>
    <mergeCell ref="A295:E295"/>
    <mergeCell ref="A296:E296"/>
    <mergeCell ref="A285:J285"/>
    <mergeCell ref="A286:J286"/>
    <mergeCell ref="A287:J287"/>
    <mergeCell ref="A288:J288"/>
    <mergeCell ref="A289:J289"/>
    <mergeCell ref="A290:J290"/>
    <mergeCell ref="A280:C280"/>
    <mergeCell ref="F280:H280"/>
    <mergeCell ref="A281:I281"/>
    <mergeCell ref="A282:J282"/>
    <mergeCell ref="A283:J283"/>
    <mergeCell ref="A284:J284"/>
    <mergeCell ref="A277:C277"/>
    <mergeCell ref="F277:H277"/>
    <mergeCell ref="A278:C278"/>
    <mergeCell ref="F278:H278"/>
    <mergeCell ref="A279:C279"/>
    <mergeCell ref="F279:H279"/>
    <mergeCell ref="A274:C274"/>
    <mergeCell ref="F274:H274"/>
    <mergeCell ref="A275:C275"/>
    <mergeCell ref="F275:H275"/>
    <mergeCell ref="A276:C276"/>
    <mergeCell ref="F276:H276"/>
    <mergeCell ref="A270:J270"/>
    <mergeCell ref="A271:C271"/>
    <mergeCell ref="F271:H271"/>
    <mergeCell ref="A272:C272"/>
    <mergeCell ref="F272:H272"/>
    <mergeCell ref="A273:C273"/>
    <mergeCell ref="F273:H273"/>
    <mergeCell ref="J264:J265"/>
    <mergeCell ref="C265:D265"/>
    <mergeCell ref="C266:D266"/>
    <mergeCell ref="C267:D267"/>
    <mergeCell ref="A268:D268"/>
    <mergeCell ref="A269:J269"/>
    <mergeCell ref="A264:D264"/>
    <mergeCell ref="E264:E265"/>
    <mergeCell ref="F264:F265"/>
    <mergeCell ref="G264:G265"/>
    <mergeCell ref="H264:H265"/>
    <mergeCell ref="I264:I265"/>
    <mergeCell ref="B258:D258"/>
    <mergeCell ref="B259:D259"/>
    <mergeCell ref="A260:D260"/>
    <mergeCell ref="A261:D261"/>
    <mergeCell ref="A262:I262"/>
    <mergeCell ref="A263:J263"/>
    <mergeCell ref="B252:D252"/>
    <mergeCell ref="B253:D253"/>
    <mergeCell ref="B254:D254"/>
    <mergeCell ref="A255:D255"/>
    <mergeCell ref="A256:I256"/>
    <mergeCell ref="B257:D257"/>
    <mergeCell ref="A246:D246"/>
    <mergeCell ref="A247:J247"/>
    <mergeCell ref="A248:J248"/>
    <mergeCell ref="B249:D249"/>
    <mergeCell ref="A250:I250"/>
    <mergeCell ref="B251:D251"/>
    <mergeCell ref="A240:J240"/>
    <mergeCell ref="A241:J241"/>
    <mergeCell ref="B242:D242"/>
    <mergeCell ref="B243:D243"/>
    <mergeCell ref="B244:D244"/>
    <mergeCell ref="B245:D245"/>
    <mergeCell ref="A234:J234"/>
    <mergeCell ref="A235:E235"/>
    <mergeCell ref="A236:E236"/>
    <mergeCell ref="A237:J237"/>
    <mergeCell ref="A238:J238"/>
    <mergeCell ref="A239:J239"/>
    <mergeCell ref="A228:J228"/>
    <mergeCell ref="A229:E229"/>
    <mergeCell ref="A230:E230"/>
    <mergeCell ref="A231:E231"/>
    <mergeCell ref="A232:E232"/>
    <mergeCell ref="A233:E233"/>
    <mergeCell ref="A222:J222"/>
    <mergeCell ref="A223:J223"/>
    <mergeCell ref="A224:J224"/>
    <mergeCell ref="A225:J225"/>
    <mergeCell ref="A226:J226"/>
    <mergeCell ref="A227:E227"/>
    <mergeCell ref="A216:J216"/>
    <mergeCell ref="A217:J217"/>
    <mergeCell ref="A218:J218"/>
    <mergeCell ref="A219:J219"/>
    <mergeCell ref="A220:J220"/>
    <mergeCell ref="A221:J221"/>
    <mergeCell ref="A212:C212"/>
    <mergeCell ref="F212:H212"/>
    <mergeCell ref="A213:C213"/>
    <mergeCell ref="F213:H213"/>
    <mergeCell ref="A214:I214"/>
    <mergeCell ref="A215:J215"/>
    <mergeCell ref="A209:C209"/>
    <mergeCell ref="F209:H209"/>
    <mergeCell ref="A210:C210"/>
    <mergeCell ref="F210:H210"/>
    <mergeCell ref="A211:C211"/>
    <mergeCell ref="F211:H211"/>
    <mergeCell ref="A206:C206"/>
    <mergeCell ref="F206:H206"/>
    <mergeCell ref="A207:C207"/>
    <mergeCell ref="F207:H207"/>
    <mergeCell ref="A208:C208"/>
    <mergeCell ref="F208:H208"/>
    <mergeCell ref="A203:C203"/>
    <mergeCell ref="F203:H203"/>
    <mergeCell ref="A204:C204"/>
    <mergeCell ref="F204:H204"/>
    <mergeCell ref="A205:C205"/>
    <mergeCell ref="F205:H205"/>
    <mergeCell ref="A199:J199"/>
    <mergeCell ref="A200:C200"/>
    <mergeCell ref="F200:H200"/>
    <mergeCell ref="A201:C201"/>
    <mergeCell ref="F201:H201"/>
    <mergeCell ref="A202:C202"/>
    <mergeCell ref="F202:H202"/>
    <mergeCell ref="J193:J194"/>
    <mergeCell ref="C194:D194"/>
    <mergeCell ref="C195:D195"/>
    <mergeCell ref="C196:D196"/>
    <mergeCell ref="A197:D197"/>
    <mergeCell ref="A198:J198"/>
    <mergeCell ref="A193:D193"/>
    <mergeCell ref="E193:E194"/>
    <mergeCell ref="F193:F194"/>
    <mergeCell ref="G193:G194"/>
    <mergeCell ref="H193:H194"/>
    <mergeCell ref="I193:I194"/>
    <mergeCell ref="B187:D187"/>
    <mergeCell ref="B188:D188"/>
    <mergeCell ref="A189:D189"/>
    <mergeCell ref="A190:D190"/>
    <mergeCell ref="A191:I191"/>
    <mergeCell ref="A192:J192"/>
    <mergeCell ref="B181:D181"/>
    <mergeCell ref="B182:D182"/>
    <mergeCell ref="B183:D183"/>
    <mergeCell ref="A184:D184"/>
    <mergeCell ref="A185:I185"/>
    <mergeCell ref="B186:D186"/>
    <mergeCell ref="A175:D175"/>
    <mergeCell ref="A176:J176"/>
    <mergeCell ref="A177:J177"/>
    <mergeCell ref="B178:D178"/>
    <mergeCell ref="A179:I179"/>
    <mergeCell ref="B180:D180"/>
    <mergeCell ref="A169:J169"/>
    <mergeCell ref="A170:J170"/>
    <mergeCell ref="A171:J171"/>
    <mergeCell ref="A172:J172"/>
    <mergeCell ref="B173:D173"/>
    <mergeCell ref="B174:D174"/>
    <mergeCell ref="A163:J163"/>
    <mergeCell ref="A164:E164"/>
    <mergeCell ref="A165:E165"/>
    <mergeCell ref="A166:E166"/>
    <mergeCell ref="A167:E167"/>
    <mergeCell ref="A168:J168"/>
    <mergeCell ref="A157:E157"/>
    <mergeCell ref="A158:J158"/>
    <mergeCell ref="A159:E159"/>
    <mergeCell ref="A160:E160"/>
    <mergeCell ref="A161:E161"/>
    <mergeCell ref="A162:E162"/>
    <mergeCell ref="A151:J151"/>
    <mergeCell ref="A152:J152"/>
    <mergeCell ref="A153:J153"/>
    <mergeCell ref="A154:J154"/>
    <mergeCell ref="A155:J155"/>
    <mergeCell ref="A156:J156"/>
    <mergeCell ref="A145:J145"/>
    <mergeCell ref="A146:J146"/>
    <mergeCell ref="A147:J147"/>
    <mergeCell ref="A148:J148"/>
    <mergeCell ref="A149:J149"/>
    <mergeCell ref="A150:J150"/>
    <mergeCell ref="A140:C140"/>
    <mergeCell ref="F140:H140"/>
    <mergeCell ref="A141:I141"/>
    <mergeCell ref="A142:J142"/>
    <mergeCell ref="A143:J143"/>
    <mergeCell ref="A144:J144"/>
    <mergeCell ref="A137:C137"/>
    <mergeCell ref="F137:H137"/>
    <mergeCell ref="A138:C138"/>
    <mergeCell ref="F138:H138"/>
    <mergeCell ref="A139:C139"/>
    <mergeCell ref="F139:H139"/>
    <mergeCell ref="A134:C134"/>
    <mergeCell ref="F134:H134"/>
    <mergeCell ref="A135:C135"/>
    <mergeCell ref="F135:H135"/>
    <mergeCell ref="A136:C136"/>
    <mergeCell ref="F136:H136"/>
    <mergeCell ref="I117:I118"/>
    <mergeCell ref="J117:J118"/>
    <mergeCell ref="C118:D118"/>
    <mergeCell ref="A131:D131"/>
    <mergeCell ref="A132:J132"/>
    <mergeCell ref="A133:J133"/>
    <mergeCell ref="B112:D112"/>
    <mergeCell ref="A113:D113"/>
    <mergeCell ref="A114:D114"/>
    <mergeCell ref="A115:I115"/>
    <mergeCell ref="A116:J116"/>
    <mergeCell ref="A117:D117"/>
    <mergeCell ref="E117:E118"/>
    <mergeCell ref="F117:F118"/>
    <mergeCell ref="G117:G118"/>
    <mergeCell ref="H117:H118"/>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A96:D96"/>
    <mergeCell ref="A97:I97"/>
    <mergeCell ref="B98:D98"/>
    <mergeCell ref="B99:D99"/>
    <mergeCell ref="A88:J88"/>
    <mergeCell ref="A89:J89"/>
    <mergeCell ref="B90:D90"/>
    <mergeCell ref="A91:I91"/>
    <mergeCell ref="B92:D92"/>
    <mergeCell ref="B93:D93"/>
    <mergeCell ref="A72:J72"/>
    <mergeCell ref="A73:J73"/>
    <mergeCell ref="A74:J74"/>
    <mergeCell ref="A75:J75"/>
    <mergeCell ref="B76:D76"/>
    <mergeCell ref="A87:D87"/>
    <mergeCell ref="A66:J66"/>
    <mergeCell ref="A67:D67"/>
    <mergeCell ref="A68:J68"/>
    <mergeCell ref="A69:J69"/>
    <mergeCell ref="A70:D70"/>
    <mergeCell ref="A71:J71"/>
    <mergeCell ref="C60:D60"/>
    <mergeCell ref="C61:D61"/>
    <mergeCell ref="C62:D62"/>
    <mergeCell ref="C63:D63"/>
    <mergeCell ref="C64:D64"/>
    <mergeCell ref="A65:D65"/>
    <mergeCell ref="C54:D54"/>
    <mergeCell ref="C55:D55"/>
    <mergeCell ref="C56:D56"/>
    <mergeCell ref="C57:D57"/>
    <mergeCell ref="C58:D58"/>
    <mergeCell ref="C59:D59"/>
    <mergeCell ref="B48:D48"/>
    <mergeCell ref="A49:D49"/>
    <mergeCell ref="A50:J50"/>
    <mergeCell ref="A51:J51"/>
    <mergeCell ref="C52:D52"/>
    <mergeCell ref="C53:D53"/>
    <mergeCell ref="A42:J42"/>
    <mergeCell ref="A43:J43"/>
    <mergeCell ref="B44:D44"/>
    <mergeCell ref="B45:D45"/>
    <mergeCell ref="B46:D46"/>
    <mergeCell ref="B47:D47"/>
    <mergeCell ref="B36:D36"/>
    <mergeCell ref="B37:D37"/>
    <mergeCell ref="B38:D38"/>
    <mergeCell ref="B39:D39"/>
    <mergeCell ref="A40:D40"/>
    <mergeCell ref="A41:D41"/>
    <mergeCell ref="B30:D30"/>
    <mergeCell ref="B31:D31"/>
    <mergeCell ref="A32:D32"/>
    <mergeCell ref="A33:J33"/>
    <mergeCell ref="A34:J34"/>
    <mergeCell ref="B35:D35"/>
    <mergeCell ref="A24:J24"/>
    <mergeCell ref="B25:D25"/>
    <mergeCell ref="A26:J26"/>
    <mergeCell ref="B27:D27"/>
    <mergeCell ref="B28:D28"/>
    <mergeCell ref="B29:D29"/>
    <mergeCell ref="A18:J18"/>
    <mergeCell ref="A19:J19"/>
    <mergeCell ref="A20:J20"/>
    <mergeCell ref="A21:J21"/>
    <mergeCell ref="A22:J22"/>
    <mergeCell ref="A23:J23"/>
    <mergeCell ref="A12:J12"/>
    <mergeCell ref="A13:J13"/>
    <mergeCell ref="A14:J14"/>
    <mergeCell ref="A15:J15"/>
    <mergeCell ref="A16:J16"/>
    <mergeCell ref="A17:J17"/>
    <mergeCell ref="A1:J1"/>
    <mergeCell ref="A2:J2"/>
    <mergeCell ref="A3:J3"/>
    <mergeCell ref="A9:J9"/>
    <mergeCell ref="A10:J10"/>
    <mergeCell ref="A11:J11"/>
  </mergeCells>
  <pageMargins left="0.25" right="0.25" top="0.75" bottom="0.75" header="0.3" footer="0.3"/>
  <pageSetup fitToHeight="0" orientation="portrait" r:id="rId1"/>
  <rowBreaks count="13" manualBreakCount="13">
    <brk id="33" max="9" man="1"/>
    <brk id="71" max="9" man="1"/>
    <brk id="115" max="9" man="1"/>
    <brk id="168" max="9" man="1"/>
    <brk id="215" max="9" man="1"/>
    <brk id="237" max="9" man="1"/>
    <brk id="282" max="9" man="1"/>
    <brk id="302" max="9" man="1"/>
    <brk id="352" max="9" man="1"/>
    <brk id="374" max="9" man="1"/>
    <brk id="412" max="9" man="1"/>
    <brk id="434" max="9" man="1"/>
    <brk id="47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66"/>
  <sheetViews>
    <sheet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ht="15" customHeight="1" x14ac:dyDescent="0.2">
      <c r="A1" s="98" t="s">
        <v>254</v>
      </c>
      <c r="B1" s="98"/>
      <c r="C1" s="99"/>
      <c r="D1" s="99"/>
      <c r="E1" s="99"/>
      <c r="F1" s="99"/>
      <c r="G1" s="99"/>
      <c r="H1" s="99"/>
      <c r="I1" s="99"/>
      <c r="J1" s="99"/>
    </row>
    <row r="2" spans="1:10" ht="15" customHeight="1" x14ac:dyDescent="0.2">
      <c r="A2" s="98" t="s">
        <v>1588</v>
      </c>
      <c r="B2" s="98"/>
      <c r="C2" s="101"/>
      <c r="D2" s="101"/>
      <c r="E2" s="101"/>
      <c r="F2" s="101"/>
      <c r="G2" s="101"/>
      <c r="H2" s="101"/>
      <c r="I2" s="101"/>
      <c r="J2" s="101"/>
    </row>
    <row r="3" spans="1:10" ht="15" thickBot="1" x14ac:dyDescent="0.25">
      <c r="A3" s="409"/>
      <c r="B3" s="409"/>
      <c r="C3" s="409"/>
      <c r="D3" s="409"/>
      <c r="E3" s="409"/>
      <c r="F3" s="409"/>
      <c r="G3" s="409"/>
      <c r="H3" s="409"/>
      <c r="I3" s="409"/>
      <c r="J3" s="409"/>
    </row>
    <row r="4" spans="1:10" x14ac:dyDescent="0.2">
      <c r="A4" s="253" t="s">
        <v>256</v>
      </c>
      <c r="B4" s="254" t="s">
        <v>257</v>
      </c>
      <c r="C4" s="254"/>
      <c r="D4" s="254"/>
      <c r="E4" s="254"/>
      <c r="F4" s="254"/>
      <c r="G4" s="255"/>
      <c r="H4" s="255"/>
      <c r="I4" s="255"/>
      <c r="J4" s="256"/>
    </row>
    <row r="5" spans="1:10" x14ac:dyDescent="0.2">
      <c r="A5" s="109"/>
      <c r="B5" s="106" t="s">
        <v>1589</v>
      </c>
      <c r="C5" s="110"/>
      <c r="D5" s="110"/>
      <c r="E5" s="106"/>
      <c r="F5" s="106"/>
      <c r="G5" s="111"/>
      <c r="H5" s="111"/>
      <c r="I5" s="111"/>
      <c r="J5" s="112"/>
    </row>
    <row r="6" spans="1:10" x14ac:dyDescent="0.2">
      <c r="A6" s="109"/>
      <c r="B6" s="106" t="s">
        <v>1590</v>
      </c>
      <c r="C6" s="110"/>
      <c r="D6" s="110"/>
      <c r="E6" s="106"/>
      <c r="F6" s="106"/>
      <c r="G6" s="111"/>
      <c r="H6" s="111"/>
      <c r="I6" s="111"/>
      <c r="J6" s="112">
        <f>H61</f>
        <v>10877300</v>
      </c>
    </row>
    <row r="7" spans="1:10" x14ac:dyDescent="0.2">
      <c r="A7" s="115" t="s">
        <v>260</v>
      </c>
      <c r="B7" s="116" t="s">
        <v>261</v>
      </c>
      <c r="C7" s="116"/>
      <c r="D7" s="116" t="s">
        <v>821</v>
      </c>
      <c r="E7" s="116"/>
      <c r="F7" s="117"/>
      <c r="G7" s="117"/>
      <c r="H7" s="117"/>
      <c r="I7" s="117"/>
      <c r="J7" s="118"/>
    </row>
    <row r="8" spans="1:10" ht="15" thickBot="1" x14ac:dyDescent="0.25">
      <c r="A8" s="119" t="s">
        <v>263</v>
      </c>
      <c r="B8" s="121" t="s">
        <v>822</v>
      </c>
      <c r="C8" s="121"/>
      <c r="D8" s="121"/>
      <c r="E8" s="121"/>
      <c r="F8" s="123"/>
      <c r="G8" s="123"/>
      <c r="H8" s="123"/>
      <c r="I8" s="123"/>
      <c r="J8" s="124"/>
    </row>
    <row r="9" spans="1:10" ht="15" x14ac:dyDescent="0.2">
      <c r="A9" s="125"/>
      <c r="B9" s="126"/>
      <c r="C9" s="126"/>
      <c r="D9" s="126"/>
      <c r="E9" s="126"/>
      <c r="F9" s="126"/>
      <c r="G9" s="126"/>
      <c r="H9" s="126"/>
      <c r="I9" s="126"/>
      <c r="J9" s="127"/>
    </row>
    <row r="10" spans="1:10" ht="15" customHeight="1" x14ac:dyDescent="0.2">
      <c r="A10" s="128" t="s">
        <v>265</v>
      </c>
      <c r="B10" s="128"/>
      <c r="C10" s="128"/>
      <c r="D10" s="128"/>
      <c r="E10" s="128"/>
      <c r="F10" s="128"/>
      <c r="G10" s="128"/>
      <c r="H10" s="128"/>
      <c r="I10" s="128"/>
      <c r="J10" s="128"/>
    </row>
    <row r="11" spans="1:10" ht="27.75" customHeight="1" x14ac:dyDescent="0.2">
      <c r="A11" s="129" t="s">
        <v>1591</v>
      </c>
      <c r="B11" s="129"/>
      <c r="C11" s="129"/>
      <c r="D11" s="129"/>
      <c r="E11" s="129"/>
      <c r="F11" s="129"/>
      <c r="G11" s="129"/>
      <c r="H11" s="129"/>
      <c r="I11" s="129"/>
      <c r="J11" s="129"/>
    </row>
    <row r="12" spans="1:10" x14ac:dyDescent="0.2">
      <c r="A12" s="129" t="s">
        <v>1592</v>
      </c>
      <c r="B12" s="129"/>
      <c r="C12" s="129"/>
      <c r="D12" s="129"/>
      <c r="E12" s="129"/>
      <c r="F12" s="129"/>
      <c r="G12" s="129"/>
      <c r="H12" s="129"/>
      <c r="I12" s="129"/>
      <c r="J12" s="129"/>
    </row>
    <row r="13" spans="1:10" ht="27.75" customHeight="1" x14ac:dyDescent="0.2">
      <c r="A13" s="129" t="s">
        <v>1593</v>
      </c>
      <c r="B13" s="129"/>
      <c r="C13" s="129"/>
      <c r="D13" s="129"/>
      <c r="E13" s="129"/>
      <c r="F13" s="129"/>
      <c r="G13" s="129"/>
      <c r="H13" s="129"/>
      <c r="I13" s="129"/>
      <c r="J13" s="129"/>
    </row>
    <row r="14" spans="1:10" ht="27.75" customHeight="1" x14ac:dyDescent="0.2">
      <c r="A14" s="129" t="s">
        <v>1594</v>
      </c>
      <c r="B14" s="129"/>
      <c r="C14" s="129"/>
      <c r="D14" s="129"/>
      <c r="E14" s="129"/>
      <c r="F14" s="129"/>
      <c r="G14" s="129"/>
      <c r="H14" s="129"/>
      <c r="I14" s="129"/>
      <c r="J14" s="129"/>
    </row>
    <row r="15" spans="1:10" ht="27.75" customHeight="1" x14ac:dyDescent="0.2">
      <c r="A15" s="129" t="s">
        <v>1595</v>
      </c>
      <c r="B15" s="129"/>
      <c r="C15" s="129"/>
      <c r="D15" s="129"/>
      <c r="E15" s="129"/>
      <c r="F15" s="129"/>
      <c r="G15" s="129"/>
      <c r="H15" s="129"/>
      <c r="I15" s="129"/>
      <c r="J15" s="129"/>
    </row>
    <row r="16" spans="1:10" ht="15.75" customHeight="1" x14ac:dyDescent="0.2">
      <c r="A16" s="129"/>
      <c r="B16" s="129"/>
      <c r="C16" s="129"/>
      <c r="D16" s="129"/>
      <c r="E16" s="129"/>
      <c r="F16" s="129"/>
      <c r="G16" s="129"/>
      <c r="H16" s="129"/>
      <c r="I16" s="129"/>
      <c r="J16" s="129"/>
    </row>
    <row r="17" spans="1:10" ht="15" customHeight="1" x14ac:dyDescent="0.2">
      <c r="A17" s="128" t="s">
        <v>267</v>
      </c>
      <c r="B17" s="128"/>
      <c r="C17" s="128"/>
      <c r="D17" s="128"/>
      <c r="E17" s="128"/>
      <c r="F17" s="128"/>
      <c r="G17" s="128"/>
      <c r="H17" s="128"/>
      <c r="I17" s="128"/>
      <c r="J17" s="128"/>
    </row>
    <row r="18" spans="1:10" x14ac:dyDescent="0.2">
      <c r="A18" s="282" t="s">
        <v>1596</v>
      </c>
      <c r="B18" s="282"/>
      <c r="C18" s="282"/>
      <c r="D18" s="282"/>
      <c r="E18" s="282"/>
      <c r="F18" s="282"/>
      <c r="G18" s="282"/>
      <c r="H18" s="282"/>
      <c r="I18" s="282"/>
      <c r="J18" s="282"/>
    </row>
    <row r="19" spans="1:10" x14ac:dyDescent="0.2">
      <c r="A19" s="344" t="s">
        <v>1597</v>
      </c>
      <c r="B19" s="344"/>
      <c r="C19" s="344"/>
      <c r="D19" s="344"/>
      <c r="E19" s="344"/>
      <c r="F19" s="344"/>
      <c r="G19" s="344"/>
      <c r="H19" s="344"/>
      <c r="I19" s="344"/>
      <c r="J19" s="344"/>
    </row>
    <row r="20" spans="1:10" x14ac:dyDescent="0.2">
      <c r="A20" s="344" t="s">
        <v>827</v>
      </c>
      <c r="B20" s="344"/>
      <c r="C20" s="344"/>
      <c r="D20" s="344"/>
      <c r="E20" s="344"/>
      <c r="F20" s="344"/>
      <c r="G20" s="344"/>
      <c r="H20" s="344"/>
      <c r="I20" s="344"/>
      <c r="J20" s="344"/>
    </row>
    <row r="21" spans="1:10" x14ac:dyDescent="0.2">
      <c r="A21" s="128" t="s">
        <v>269</v>
      </c>
      <c r="B21" s="128"/>
      <c r="C21" s="128"/>
      <c r="D21" s="128"/>
      <c r="E21" s="128"/>
      <c r="F21" s="128"/>
      <c r="G21" s="128"/>
      <c r="H21" s="128"/>
      <c r="I21" s="128"/>
      <c r="J21" s="128"/>
    </row>
    <row r="22" spans="1:10" x14ac:dyDescent="0.2">
      <c r="A22" s="284" t="s">
        <v>1598</v>
      </c>
      <c r="B22" s="284"/>
      <c r="C22" s="284"/>
      <c r="D22" s="284"/>
      <c r="E22" s="284"/>
      <c r="F22" s="284"/>
      <c r="G22" s="284"/>
      <c r="H22" s="284"/>
      <c r="I22" s="284"/>
      <c r="J22" s="284"/>
    </row>
    <row r="23" spans="1:10" x14ac:dyDescent="0.2">
      <c r="A23" s="128" t="s">
        <v>272</v>
      </c>
      <c r="B23" s="128"/>
      <c r="C23" s="128"/>
      <c r="D23" s="128"/>
      <c r="E23" s="128"/>
      <c r="F23" s="128"/>
      <c r="G23" s="128"/>
      <c r="H23" s="128"/>
      <c r="I23" s="128"/>
      <c r="J23" s="128"/>
    </row>
    <row r="24" spans="1:10" s="249" customFormat="1" ht="46.5" customHeight="1" x14ac:dyDescent="0.2">
      <c r="A24" s="343" t="s">
        <v>1599</v>
      </c>
      <c r="B24" s="343"/>
      <c r="C24" s="343"/>
      <c r="D24" s="343"/>
      <c r="E24" s="343"/>
      <c r="F24" s="343"/>
      <c r="G24" s="343"/>
      <c r="H24" s="343"/>
      <c r="I24" s="343"/>
      <c r="J24" s="343"/>
    </row>
    <row r="25" spans="1:10" x14ac:dyDescent="0.2">
      <c r="A25" s="128" t="s">
        <v>275</v>
      </c>
      <c r="B25" s="128"/>
      <c r="C25" s="128"/>
      <c r="D25" s="128"/>
      <c r="E25" s="128"/>
      <c r="F25" s="128"/>
      <c r="G25" s="128"/>
      <c r="H25" s="128"/>
      <c r="I25" s="128"/>
      <c r="J25" s="128"/>
    </row>
    <row r="26" spans="1:10" ht="33.75" x14ac:dyDescent="0.2">
      <c r="A26" s="130" t="s">
        <v>243</v>
      </c>
      <c r="B26" s="131" t="s">
        <v>242</v>
      </c>
      <c r="C26" s="131"/>
      <c r="D26" s="131"/>
      <c r="E26" s="132" t="str">
        <f>Summary!$G$25</f>
        <v>Actuals           2014-2015</v>
      </c>
      <c r="F26" s="132" t="str">
        <f>Summary!$H$25</f>
        <v>Approved Estimates          2015-2016</v>
      </c>
      <c r="G26" s="132" t="str">
        <f>Summary!$I$25</f>
        <v>Revised Estimates                 2015-2016</v>
      </c>
      <c r="H26" s="132" t="str">
        <f>Summary!$J$25</f>
        <v>Budget Estimates      2016-2017</v>
      </c>
      <c r="I26" s="132" t="str">
        <f>Summary!$K$25</f>
        <v>Forward Estimates     2017-2018</v>
      </c>
      <c r="J26" s="132" t="str">
        <f>Summary!$L$25</f>
        <v>Forward Estimates     2018-2019</v>
      </c>
    </row>
    <row r="27" spans="1:10" ht="15" customHeight="1" x14ac:dyDescent="0.2">
      <c r="A27" s="128" t="s">
        <v>276</v>
      </c>
      <c r="B27" s="128"/>
      <c r="C27" s="128"/>
      <c r="D27" s="128"/>
      <c r="E27" s="128"/>
      <c r="F27" s="128"/>
      <c r="G27" s="128"/>
      <c r="H27" s="128"/>
      <c r="I27" s="128"/>
      <c r="J27" s="128"/>
    </row>
    <row r="28" spans="1:10" x14ac:dyDescent="0.2">
      <c r="A28" s="207">
        <v>400</v>
      </c>
      <c r="B28" s="129" t="s">
        <v>501</v>
      </c>
      <c r="C28" s="129"/>
      <c r="D28" s="129"/>
      <c r="E28" s="211">
        <f t="shared" ref="E28:J28" si="0">E79</f>
        <v>357300.76</v>
      </c>
      <c r="F28" s="209">
        <f t="shared" si="0"/>
        <v>360000</v>
      </c>
      <c r="G28" s="211">
        <f t="shared" si="0"/>
        <v>293600</v>
      </c>
      <c r="H28" s="210">
        <f t="shared" si="0"/>
        <v>380000</v>
      </c>
      <c r="I28" s="211">
        <f t="shared" si="0"/>
        <v>390000</v>
      </c>
      <c r="J28" s="211">
        <f t="shared" si="0"/>
        <v>390000</v>
      </c>
    </row>
    <row r="29" spans="1:10" x14ac:dyDescent="0.2">
      <c r="A29" s="207">
        <v>401</v>
      </c>
      <c r="B29" s="129" t="s">
        <v>1600</v>
      </c>
      <c r="C29" s="129"/>
      <c r="D29" s="129"/>
      <c r="E29" s="211">
        <f t="shared" ref="E29:J29" si="1">E153</f>
        <v>0</v>
      </c>
      <c r="F29" s="209">
        <f t="shared" si="1"/>
        <v>0</v>
      </c>
      <c r="G29" s="211">
        <f t="shared" si="1"/>
        <v>0</v>
      </c>
      <c r="H29" s="210">
        <f t="shared" si="1"/>
        <v>0</v>
      </c>
      <c r="I29" s="211">
        <f t="shared" si="1"/>
        <v>0</v>
      </c>
      <c r="J29" s="211">
        <f t="shared" si="1"/>
        <v>0</v>
      </c>
    </row>
    <row r="30" spans="1:10" x14ac:dyDescent="0.2">
      <c r="A30" s="207">
        <v>402</v>
      </c>
      <c r="B30" s="129" t="s">
        <v>1601</v>
      </c>
      <c r="C30" s="129"/>
      <c r="D30" s="129"/>
      <c r="E30" s="211">
        <f t="shared" ref="E30:J30" si="2">E215</f>
        <v>0</v>
      </c>
      <c r="F30" s="209">
        <f t="shared" si="2"/>
        <v>0</v>
      </c>
      <c r="G30" s="211">
        <f t="shared" si="2"/>
        <v>0</v>
      </c>
      <c r="H30" s="210">
        <f t="shared" si="2"/>
        <v>0</v>
      </c>
      <c r="I30" s="211">
        <f t="shared" si="2"/>
        <v>0</v>
      </c>
      <c r="J30" s="211">
        <f t="shared" si="2"/>
        <v>0</v>
      </c>
    </row>
    <row r="31" spans="1:10" x14ac:dyDescent="0.2">
      <c r="A31" s="207">
        <v>403</v>
      </c>
      <c r="B31" s="129" t="s">
        <v>1602</v>
      </c>
      <c r="C31" s="129"/>
      <c r="D31" s="129"/>
      <c r="E31" s="211">
        <f t="shared" ref="E31:J31" si="3">E285</f>
        <v>0</v>
      </c>
      <c r="F31" s="209">
        <f t="shared" si="3"/>
        <v>0</v>
      </c>
      <c r="G31" s="211">
        <f t="shared" si="3"/>
        <v>0</v>
      </c>
      <c r="H31" s="210">
        <f t="shared" si="3"/>
        <v>0</v>
      </c>
      <c r="I31" s="211">
        <f t="shared" si="3"/>
        <v>0</v>
      </c>
      <c r="J31" s="211">
        <f t="shared" si="3"/>
        <v>0</v>
      </c>
    </row>
    <row r="32" spans="1:10" x14ac:dyDescent="0.2">
      <c r="A32" s="207">
        <v>404</v>
      </c>
      <c r="B32" s="129" t="s">
        <v>1603</v>
      </c>
      <c r="C32" s="129"/>
      <c r="D32" s="129"/>
      <c r="E32" s="211">
        <f t="shared" ref="E32:J32" si="4">E346</f>
        <v>0</v>
      </c>
      <c r="F32" s="209">
        <f t="shared" si="4"/>
        <v>0</v>
      </c>
      <c r="G32" s="211">
        <f t="shared" si="4"/>
        <v>0</v>
      </c>
      <c r="H32" s="210">
        <f t="shared" si="4"/>
        <v>0</v>
      </c>
      <c r="I32" s="211">
        <f t="shared" si="4"/>
        <v>0</v>
      </c>
      <c r="J32" s="211">
        <f t="shared" si="4"/>
        <v>0</v>
      </c>
    </row>
    <row r="33" spans="1:10" x14ac:dyDescent="0.2">
      <c r="A33" s="207">
        <v>406</v>
      </c>
      <c r="B33" s="129" t="s">
        <v>1604</v>
      </c>
      <c r="C33" s="129"/>
      <c r="D33" s="129"/>
      <c r="E33" s="211">
        <f t="shared" ref="E33:J33" si="5">E406</f>
        <v>4901</v>
      </c>
      <c r="F33" s="209">
        <f t="shared" si="5"/>
        <v>0</v>
      </c>
      <c r="G33" s="211">
        <f t="shared" si="5"/>
        <v>0</v>
      </c>
      <c r="H33" s="210">
        <f t="shared" si="5"/>
        <v>0</v>
      </c>
      <c r="I33" s="211">
        <f t="shared" si="5"/>
        <v>0</v>
      </c>
      <c r="J33" s="211">
        <f t="shared" si="5"/>
        <v>0</v>
      </c>
    </row>
    <row r="34" spans="1:10" ht="15" customHeight="1" x14ac:dyDescent="0.2">
      <c r="A34" s="137" t="s">
        <v>1605</v>
      </c>
      <c r="B34" s="137"/>
      <c r="C34" s="137"/>
      <c r="D34" s="137"/>
      <c r="E34" s="138">
        <f t="shared" ref="E34:J34" si="6">SUM(E28:E33)</f>
        <v>362201.76</v>
      </c>
      <c r="F34" s="138">
        <f t="shared" si="6"/>
        <v>360000</v>
      </c>
      <c r="G34" s="138">
        <f t="shared" si="6"/>
        <v>293600</v>
      </c>
      <c r="H34" s="138">
        <f t="shared" si="6"/>
        <v>380000</v>
      </c>
      <c r="I34" s="138">
        <f t="shared" si="6"/>
        <v>390000</v>
      </c>
      <c r="J34" s="138">
        <f t="shared" si="6"/>
        <v>390000</v>
      </c>
    </row>
    <row r="35" spans="1:10" ht="15" customHeight="1" x14ac:dyDescent="0.2">
      <c r="A35" s="129"/>
      <c r="B35" s="129"/>
      <c r="C35" s="129"/>
      <c r="D35" s="129"/>
      <c r="E35" s="129"/>
      <c r="F35" s="129"/>
      <c r="G35" s="129"/>
      <c r="H35" s="129"/>
      <c r="I35" s="129"/>
      <c r="J35" s="129"/>
    </row>
    <row r="36" spans="1:10" x14ac:dyDescent="0.2">
      <c r="A36" s="128" t="s">
        <v>281</v>
      </c>
      <c r="B36" s="128"/>
      <c r="C36" s="128"/>
      <c r="D36" s="128"/>
      <c r="E36" s="128"/>
      <c r="F36" s="128"/>
      <c r="G36" s="128"/>
      <c r="H36" s="128"/>
      <c r="I36" s="128"/>
      <c r="J36" s="128"/>
    </row>
    <row r="37" spans="1:10" x14ac:dyDescent="0.2">
      <c r="A37" s="207">
        <v>400</v>
      </c>
      <c r="B37" s="129" t="s">
        <v>501</v>
      </c>
      <c r="C37" s="129"/>
      <c r="D37" s="129"/>
      <c r="E37" s="211">
        <f t="shared" ref="E37:J37" si="7">E106+E114</f>
        <v>1962281.7700000003</v>
      </c>
      <c r="F37" s="209">
        <f t="shared" si="7"/>
        <v>2874000</v>
      </c>
      <c r="G37" s="211">
        <f t="shared" si="7"/>
        <v>3840700</v>
      </c>
      <c r="H37" s="210">
        <f t="shared" si="7"/>
        <v>3350400</v>
      </c>
      <c r="I37" s="211">
        <f t="shared" si="7"/>
        <v>3343400</v>
      </c>
      <c r="J37" s="211">
        <f t="shared" si="7"/>
        <v>3355300</v>
      </c>
    </row>
    <row r="38" spans="1:10" x14ac:dyDescent="0.2">
      <c r="A38" s="207">
        <v>401</v>
      </c>
      <c r="B38" s="129" t="s">
        <v>1600</v>
      </c>
      <c r="C38" s="129"/>
      <c r="D38" s="129"/>
      <c r="E38" s="211">
        <f t="shared" ref="E38:J38" si="8">E172+E179</f>
        <v>1331028.27</v>
      </c>
      <c r="F38" s="209">
        <f t="shared" si="8"/>
        <v>1475900</v>
      </c>
      <c r="G38" s="211">
        <f t="shared" si="8"/>
        <v>1485900</v>
      </c>
      <c r="H38" s="210">
        <f t="shared" si="8"/>
        <v>1627400</v>
      </c>
      <c r="I38" s="211">
        <f t="shared" si="8"/>
        <v>1662700</v>
      </c>
      <c r="J38" s="211">
        <f t="shared" si="8"/>
        <v>1698000</v>
      </c>
    </row>
    <row r="39" spans="1:10" x14ac:dyDescent="0.2">
      <c r="A39" s="207">
        <v>402</v>
      </c>
      <c r="B39" s="129" t="s">
        <v>1601</v>
      </c>
      <c r="C39" s="129"/>
      <c r="D39" s="129"/>
      <c r="E39" s="211">
        <f t="shared" ref="E39:J39" si="9">E236+E243</f>
        <v>2694173.19</v>
      </c>
      <c r="F39" s="209">
        <f t="shared" si="9"/>
        <v>2937800</v>
      </c>
      <c r="G39" s="211">
        <f t="shared" si="9"/>
        <v>2795100</v>
      </c>
      <c r="H39" s="210">
        <f t="shared" si="9"/>
        <v>3166600</v>
      </c>
      <c r="I39" s="211">
        <f t="shared" si="9"/>
        <v>3298400</v>
      </c>
      <c r="J39" s="211">
        <f t="shared" si="9"/>
        <v>3299700</v>
      </c>
    </row>
    <row r="40" spans="1:10" x14ac:dyDescent="0.2">
      <c r="A40" s="207">
        <v>403</v>
      </c>
      <c r="B40" s="129" t="s">
        <v>1602</v>
      </c>
      <c r="C40" s="129"/>
      <c r="D40" s="129"/>
      <c r="E40" s="211">
        <f t="shared" ref="E40:J40" si="10">E306+E313</f>
        <v>300977.73</v>
      </c>
      <c r="F40" s="209">
        <f t="shared" si="10"/>
        <v>355100</v>
      </c>
      <c r="G40" s="211">
        <f t="shared" si="10"/>
        <v>368100</v>
      </c>
      <c r="H40" s="210">
        <f t="shared" si="10"/>
        <v>363200</v>
      </c>
      <c r="I40" s="211">
        <f t="shared" si="10"/>
        <v>367000</v>
      </c>
      <c r="J40" s="211">
        <f t="shared" si="10"/>
        <v>371300</v>
      </c>
    </row>
    <row r="41" spans="1:10" x14ac:dyDescent="0.2">
      <c r="A41" s="207">
        <v>404</v>
      </c>
      <c r="B41" s="129" t="s">
        <v>1603</v>
      </c>
      <c r="C41" s="129"/>
      <c r="D41" s="129"/>
      <c r="E41" s="211">
        <f t="shared" ref="E41:J41" si="11">E365+E371</f>
        <v>814729.4</v>
      </c>
      <c r="F41" s="209">
        <f t="shared" si="11"/>
        <v>871200</v>
      </c>
      <c r="G41" s="211">
        <f t="shared" si="11"/>
        <v>889200</v>
      </c>
      <c r="H41" s="210">
        <f t="shared" si="11"/>
        <v>889800</v>
      </c>
      <c r="I41" s="211">
        <f t="shared" si="11"/>
        <v>901900</v>
      </c>
      <c r="J41" s="211">
        <f t="shared" si="11"/>
        <v>911600</v>
      </c>
    </row>
    <row r="42" spans="1:10" x14ac:dyDescent="0.2">
      <c r="A42" s="207">
        <v>406</v>
      </c>
      <c r="B42" s="129" t="s">
        <v>1604</v>
      </c>
      <c r="C42" s="129"/>
      <c r="D42" s="129"/>
      <c r="E42" s="211">
        <f t="shared" ref="E42:J42" si="12">E432+E439</f>
        <v>1287491.82</v>
      </c>
      <c r="F42" s="209">
        <f t="shared" si="12"/>
        <v>1463000</v>
      </c>
      <c r="G42" s="211">
        <f t="shared" si="12"/>
        <v>1457000</v>
      </c>
      <c r="H42" s="210">
        <f t="shared" si="12"/>
        <v>1479900</v>
      </c>
      <c r="I42" s="211">
        <f t="shared" si="12"/>
        <v>1481900</v>
      </c>
      <c r="J42" s="211">
        <f t="shared" si="12"/>
        <v>1484100</v>
      </c>
    </row>
    <row r="43" spans="1:10" x14ac:dyDescent="0.2">
      <c r="A43" s="139" t="s">
        <v>1606</v>
      </c>
      <c r="B43" s="139"/>
      <c r="C43" s="139"/>
      <c r="D43" s="139"/>
      <c r="E43" s="140">
        <f t="shared" ref="E43:J43" si="13">SUM(E37:E42)</f>
        <v>8390682.1800000016</v>
      </c>
      <c r="F43" s="140">
        <f t="shared" si="13"/>
        <v>9977000</v>
      </c>
      <c r="G43" s="140">
        <f t="shared" si="13"/>
        <v>10836000</v>
      </c>
      <c r="H43" s="140">
        <f t="shared" si="13"/>
        <v>10877300</v>
      </c>
      <c r="I43" s="140">
        <f t="shared" si="13"/>
        <v>11055300</v>
      </c>
      <c r="J43" s="140">
        <f t="shared" si="13"/>
        <v>11120000</v>
      </c>
    </row>
    <row r="44" spans="1:10" ht="15" customHeight="1" x14ac:dyDescent="0.2">
      <c r="A44" s="151"/>
      <c r="B44" s="151"/>
      <c r="C44" s="151"/>
      <c r="D44" s="151"/>
      <c r="E44" s="261"/>
      <c r="F44" s="286"/>
      <c r="G44" s="261"/>
      <c r="H44" s="303"/>
      <c r="I44" s="261"/>
      <c r="J44" s="261"/>
    </row>
    <row r="45" spans="1:10" x14ac:dyDescent="0.2">
      <c r="A45" s="141" t="s">
        <v>283</v>
      </c>
      <c r="B45" s="141"/>
      <c r="C45" s="141"/>
      <c r="D45" s="141"/>
      <c r="E45" s="141"/>
      <c r="F45" s="141"/>
      <c r="G45" s="141"/>
      <c r="H45" s="141"/>
      <c r="I45" s="141"/>
      <c r="J45" s="141"/>
    </row>
    <row r="46" spans="1:10" ht="15" customHeight="1" x14ac:dyDescent="0.2">
      <c r="A46" s="131" t="s">
        <v>284</v>
      </c>
      <c r="B46" s="131"/>
      <c r="C46" s="131"/>
      <c r="D46" s="131"/>
      <c r="E46" s="131"/>
      <c r="F46" s="131"/>
      <c r="G46" s="131"/>
      <c r="H46" s="131"/>
      <c r="I46" s="131"/>
      <c r="J46" s="131"/>
    </row>
    <row r="47" spans="1:10" x14ac:dyDescent="0.2">
      <c r="A47" s="207"/>
      <c r="B47" s="129" t="s">
        <v>7</v>
      </c>
      <c r="C47" s="129"/>
      <c r="D47" s="129"/>
      <c r="E47" s="211">
        <f t="shared" ref="E47:J47" si="14">E480</f>
        <v>5183848.5</v>
      </c>
      <c r="F47" s="209">
        <f t="shared" si="14"/>
        <v>5524300</v>
      </c>
      <c r="G47" s="211">
        <f t="shared" si="14"/>
        <v>5480000</v>
      </c>
      <c r="H47" s="210">
        <f t="shared" si="14"/>
        <v>5889200</v>
      </c>
      <c r="I47" s="211">
        <f t="shared" si="14"/>
        <v>6049900</v>
      </c>
      <c r="J47" s="211">
        <f t="shared" si="14"/>
        <v>6128900</v>
      </c>
    </row>
    <row r="48" spans="1:10" x14ac:dyDescent="0.2">
      <c r="A48" s="207"/>
      <c r="B48" s="129" t="s">
        <v>196</v>
      </c>
      <c r="C48" s="129"/>
      <c r="D48" s="129"/>
      <c r="E48" s="211">
        <f t="shared" ref="E48:J48" si="15">E488</f>
        <v>197701.22999999998</v>
      </c>
      <c r="F48" s="209">
        <f t="shared" si="15"/>
        <v>178500</v>
      </c>
      <c r="G48" s="211">
        <f t="shared" si="15"/>
        <v>188500</v>
      </c>
      <c r="H48" s="210">
        <f t="shared" si="15"/>
        <v>235000</v>
      </c>
      <c r="I48" s="211">
        <f t="shared" si="15"/>
        <v>236500</v>
      </c>
      <c r="J48" s="211">
        <f t="shared" si="15"/>
        <v>238000</v>
      </c>
    </row>
    <row r="49" spans="1:10" x14ac:dyDescent="0.2">
      <c r="A49" s="207"/>
      <c r="B49" s="129" t="s">
        <v>285</v>
      </c>
      <c r="C49" s="129"/>
      <c r="D49" s="129"/>
      <c r="E49" s="211">
        <f t="shared" ref="E49:J49" si="16">E496</f>
        <v>354299.66000000003</v>
      </c>
      <c r="F49" s="209">
        <f t="shared" si="16"/>
        <v>383500</v>
      </c>
      <c r="G49" s="211">
        <f t="shared" si="16"/>
        <v>387500</v>
      </c>
      <c r="H49" s="210">
        <f t="shared" si="16"/>
        <v>393800</v>
      </c>
      <c r="I49" s="211">
        <f t="shared" si="16"/>
        <v>393800</v>
      </c>
      <c r="J49" s="211">
        <f t="shared" si="16"/>
        <v>393800</v>
      </c>
    </row>
    <row r="50" spans="1:10" x14ac:dyDescent="0.2">
      <c r="A50" s="207"/>
      <c r="B50" s="129" t="s">
        <v>198</v>
      </c>
      <c r="C50" s="129"/>
      <c r="D50" s="129"/>
      <c r="E50" s="211">
        <f t="shared" ref="E50:J50" si="17">E504</f>
        <v>97140.63</v>
      </c>
      <c r="F50" s="209">
        <f t="shared" si="17"/>
        <v>63400</v>
      </c>
      <c r="G50" s="211">
        <f t="shared" si="17"/>
        <v>0</v>
      </c>
      <c r="H50" s="210">
        <f t="shared" si="17"/>
        <v>54000</v>
      </c>
      <c r="I50" s="211">
        <f t="shared" si="17"/>
        <v>69800</v>
      </c>
      <c r="J50" s="211">
        <f t="shared" si="17"/>
        <v>54000</v>
      </c>
    </row>
    <row r="51" spans="1:10" x14ac:dyDescent="0.2">
      <c r="A51" s="207"/>
      <c r="B51" s="129" t="s">
        <v>286</v>
      </c>
      <c r="C51" s="129"/>
      <c r="D51" s="129"/>
      <c r="E51" s="211">
        <f t="shared" ref="E51:J51" si="18">E512</f>
        <v>2557692.16</v>
      </c>
      <c r="F51" s="209">
        <f t="shared" si="18"/>
        <v>3827300</v>
      </c>
      <c r="G51" s="211">
        <f t="shared" si="18"/>
        <v>3878300</v>
      </c>
      <c r="H51" s="210">
        <f t="shared" si="18"/>
        <v>4305300</v>
      </c>
      <c r="I51" s="211">
        <f t="shared" si="18"/>
        <v>4305300</v>
      </c>
      <c r="J51" s="211">
        <f t="shared" si="18"/>
        <v>4305300</v>
      </c>
    </row>
    <row r="52" spans="1:10" ht="15" customHeight="1" x14ac:dyDescent="0.2">
      <c r="A52" s="139" t="s">
        <v>287</v>
      </c>
      <c r="B52" s="139"/>
      <c r="C52" s="139"/>
      <c r="D52" s="139"/>
      <c r="E52" s="140">
        <f t="shared" ref="E52:J52" si="19">SUM(E47:E51)</f>
        <v>8390682.1799999997</v>
      </c>
      <c r="F52" s="140">
        <f t="shared" si="19"/>
        <v>9977000</v>
      </c>
      <c r="G52" s="140">
        <f t="shared" si="19"/>
        <v>9934300</v>
      </c>
      <c r="H52" s="140">
        <f t="shared" si="19"/>
        <v>10877300</v>
      </c>
      <c r="I52" s="140">
        <f t="shared" si="19"/>
        <v>11055300</v>
      </c>
      <c r="J52" s="140">
        <f t="shared" si="19"/>
        <v>11120000</v>
      </c>
    </row>
    <row r="53" spans="1:10" ht="15" customHeight="1" x14ac:dyDescent="0.2">
      <c r="A53" s="129"/>
      <c r="B53" s="129"/>
      <c r="C53" s="129"/>
      <c r="D53" s="129"/>
      <c r="E53" s="129"/>
      <c r="F53" s="129"/>
      <c r="G53" s="129"/>
      <c r="H53" s="129"/>
      <c r="I53" s="129"/>
      <c r="J53" s="129"/>
    </row>
    <row r="54" spans="1:10" x14ac:dyDescent="0.2">
      <c r="A54" s="131" t="s">
        <v>15</v>
      </c>
      <c r="B54" s="131"/>
      <c r="C54" s="131"/>
      <c r="D54" s="131"/>
      <c r="E54" s="131"/>
      <c r="F54" s="131"/>
      <c r="G54" s="131"/>
      <c r="H54" s="131"/>
      <c r="I54" s="131"/>
      <c r="J54" s="131"/>
    </row>
    <row r="55" spans="1:10" ht="15" customHeight="1" x14ac:dyDescent="0.2">
      <c r="A55" s="130" t="s">
        <v>243</v>
      </c>
      <c r="B55" s="130" t="s">
        <v>244</v>
      </c>
      <c r="C55" s="131" t="s">
        <v>245</v>
      </c>
      <c r="D55" s="142"/>
      <c r="E55" s="143"/>
      <c r="F55" s="143"/>
      <c r="G55" s="143"/>
      <c r="H55" s="143"/>
      <c r="I55" s="143"/>
      <c r="J55" s="143"/>
    </row>
    <row r="56" spans="1:10" ht="15" customHeight="1" x14ac:dyDescent="0.2">
      <c r="A56" s="492" t="str">
        <f>RIGHT(A111,3)</f>
        <v>06A</v>
      </c>
      <c r="B56" s="286" t="str">
        <f t="shared" ref="B56:C58" si="20">B111</f>
        <v>UNICEF</v>
      </c>
      <c r="C56" s="493" t="str">
        <f t="shared" si="20"/>
        <v>Early Childhood Devlopment</v>
      </c>
      <c r="D56" s="493"/>
      <c r="E56" s="494">
        <f t="shared" ref="E56:J58" si="21">E111</f>
        <v>0</v>
      </c>
      <c r="F56" s="494">
        <f t="shared" si="21"/>
        <v>0</v>
      </c>
      <c r="G56" s="494">
        <f t="shared" si="21"/>
        <v>20700</v>
      </c>
      <c r="H56" s="494">
        <f t="shared" si="21"/>
        <v>0</v>
      </c>
      <c r="I56" s="494">
        <f t="shared" si="21"/>
        <v>0</v>
      </c>
      <c r="J56" s="494">
        <f t="shared" si="21"/>
        <v>0</v>
      </c>
    </row>
    <row r="57" spans="1:10" ht="15" customHeight="1" x14ac:dyDescent="0.2">
      <c r="A57" s="492" t="str">
        <f>RIGHT(A112,3)</f>
        <v>09A</v>
      </c>
      <c r="B57" s="286" t="str">
        <f t="shared" si="20"/>
        <v>CDB</v>
      </c>
      <c r="C57" s="493" t="str">
        <f t="shared" si="20"/>
        <v xml:space="preserve"> Teacher Enhancement Project</v>
      </c>
      <c r="D57" s="493"/>
      <c r="E57" s="494">
        <f t="shared" si="21"/>
        <v>0</v>
      </c>
      <c r="F57" s="494">
        <f t="shared" si="21"/>
        <v>0</v>
      </c>
      <c r="G57" s="494">
        <f t="shared" si="21"/>
        <v>117100</v>
      </c>
      <c r="H57" s="494">
        <f t="shared" si="21"/>
        <v>0</v>
      </c>
      <c r="I57" s="494">
        <f t="shared" si="21"/>
        <v>0</v>
      </c>
      <c r="J57" s="494">
        <f t="shared" si="21"/>
        <v>0</v>
      </c>
    </row>
    <row r="58" spans="1:10" ht="15" customHeight="1" x14ac:dyDescent="0.2">
      <c r="A58" s="492" t="str">
        <f>RIGHT(A113,3)</f>
        <v>87A</v>
      </c>
      <c r="B58" s="286" t="str">
        <f t="shared" si="20"/>
        <v>GOM</v>
      </c>
      <c r="C58" s="493" t="str">
        <f t="shared" si="20"/>
        <v>Montserrat Secondary School (MSS) Rehabilitation</v>
      </c>
      <c r="D58" s="493"/>
      <c r="E58" s="494">
        <f t="shared" si="21"/>
        <v>0</v>
      </c>
      <c r="F58" s="494">
        <f t="shared" si="21"/>
        <v>0</v>
      </c>
      <c r="G58" s="494">
        <f t="shared" si="21"/>
        <v>763900</v>
      </c>
      <c r="H58" s="494">
        <f t="shared" si="21"/>
        <v>0</v>
      </c>
      <c r="I58" s="494">
        <f t="shared" si="21"/>
        <v>0</v>
      </c>
      <c r="J58" s="494">
        <f t="shared" si="21"/>
        <v>0</v>
      </c>
    </row>
    <row r="59" spans="1:10" ht="15" customHeight="1" x14ac:dyDescent="0.2">
      <c r="A59" s="139" t="s">
        <v>69</v>
      </c>
      <c r="B59" s="139"/>
      <c r="C59" s="139"/>
      <c r="D59" s="139"/>
      <c r="E59" s="140">
        <f t="shared" ref="E59:F59" si="22">SUM(E56:E58)</f>
        <v>0</v>
      </c>
      <c r="F59" s="140">
        <f t="shared" si="22"/>
        <v>0</v>
      </c>
      <c r="G59" s="140">
        <f>SUM(G56:G58)</f>
        <v>901700</v>
      </c>
      <c r="H59" s="140">
        <f t="shared" ref="H59:J59" si="23">SUM(H56:H58)</f>
        <v>0</v>
      </c>
      <c r="I59" s="140">
        <f t="shared" si="23"/>
        <v>0</v>
      </c>
      <c r="J59" s="140">
        <f t="shared" si="23"/>
        <v>0</v>
      </c>
    </row>
    <row r="60" spans="1:10" x14ac:dyDescent="0.2">
      <c r="A60" s="129"/>
      <c r="B60" s="129"/>
      <c r="C60" s="129"/>
      <c r="D60" s="129"/>
      <c r="E60" s="129"/>
      <c r="F60" s="129"/>
      <c r="G60" s="129"/>
      <c r="H60" s="129"/>
      <c r="I60" s="129"/>
      <c r="J60" s="129"/>
    </row>
    <row r="61" spans="1:10" ht="15" customHeight="1" x14ac:dyDescent="0.2">
      <c r="A61" s="137" t="s">
        <v>1606</v>
      </c>
      <c r="B61" s="137"/>
      <c r="C61" s="137"/>
      <c r="D61" s="137"/>
      <c r="E61" s="147">
        <f t="shared" ref="E61:J61" si="24">SUM(E52,E59)</f>
        <v>8390682.1799999997</v>
      </c>
      <c r="F61" s="147">
        <f t="shared" si="24"/>
        <v>9977000</v>
      </c>
      <c r="G61" s="147">
        <f t="shared" si="24"/>
        <v>10836000</v>
      </c>
      <c r="H61" s="147">
        <f t="shared" si="24"/>
        <v>10877300</v>
      </c>
      <c r="I61" s="147">
        <f t="shared" si="24"/>
        <v>11055300</v>
      </c>
      <c r="J61" s="147">
        <f t="shared" si="24"/>
        <v>11120000</v>
      </c>
    </row>
    <row r="62" spans="1:10" ht="15" customHeight="1" x14ac:dyDescent="0.2">
      <c r="A62" s="129"/>
      <c r="B62" s="129"/>
      <c r="C62" s="129"/>
      <c r="D62" s="129"/>
      <c r="E62" s="129"/>
      <c r="F62" s="129"/>
      <c r="G62" s="129"/>
      <c r="H62" s="129"/>
      <c r="I62" s="129"/>
      <c r="J62" s="129"/>
    </row>
    <row r="63" spans="1:10" ht="15" customHeight="1" x14ac:dyDescent="0.2">
      <c r="A63" s="128" t="s">
        <v>288</v>
      </c>
      <c r="B63" s="128"/>
      <c r="C63" s="128"/>
      <c r="D63" s="128"/>
      <c r="E63" s="128"/>
      <c r="F63" s="128"/>
      <c r="G63" s="128"/>
      <c r="H63" s="128"/>
      <c r="I63" s="128"/>
      <c r="J63" s="128"/>
    </row>
    <row r="64" spans="1:10" ht="15" customHeight="1" x14ac:dyDescent="0.2">
      <c r="A64" s="137" t="s">
        <v>289</v>
      </c>
      <c r="B64" s="137"/>
      <c r="C64" s="137"/>
      <c r="D64" s="137"/>
      <c r="E64" s="149"/>
      <c r="F64" s="149"/>
      <c r="G64" s="149"/>
      <c r="H64" s="148"/>
      <c r="I64" s="149"/>
      <c r="J64" s="149"/>
    </row>
    <row r="65" spans="1:10" ht="15" customHeight="1" x14ac:dyDescent="0.2">
      <c r="A65" s="129"/>
      <c r="B65" s="129"/>
      <c r="C65" s="129"/>
      <c r="D65" s="129"/>
      <c r="E65" s="129"/>
      <c r="F65" s="129"/>
      <c r="G65" s="129"/>
      <c r="H65" s="129"/>
      <c r="I65" s="129"/>
      <c r="J65" s="129"/>
    </row>
    <row r="66" spans="1:10" ht="15" customHeight="1" x14ac:dyDescent="0.2">
      <c r="A66" s="150" t="s">
        <v>1607</v>
      </c>
      <c r="B66" s="150"/>
      <c r="C66" s="150"/>
      <c r="D66" s="150"/>
      <c r="E66" s="150"/>
      <c r="F66" s="150"/>
      <c r="G66" s="150"/>
      <c r="H66" s="150"/>
      <c r="I66" s="150"/>
      <c r="J66" s="150"/>
    </row>
    <row r="67" spans="1:10" ht="15" customHeight="1" x14ac:dyDescent="0.2">
      <c r="A67" s="389" t="s">
        <v>291</v>
      </c>
      <c r="B67" s="389"/>
      <c r="C67" s="389"/>
      <c r="D67" s="389"/>
      <c r="E67" s="389"/>
      <c r="F67" s="389"/>
      <c r="G67" s="389"/>
      <c r="H67" s="389"/>
      <c r="I67" s="389"/>
      <c r="J67" s="389"/>
    </row>
    <row r="68" spans="1:10" x14ac:dyDescent="0.2">
      <c r="A68" s="129" t="s">
        <v>1608</v>
      </c>
      <c r="B68" s="129"/>
      <c r="C68" s="129"/>
      <c r="D68" s="129"/>
      <c r="E68" s="129"/>
      <c r="F68" s="129"/>
      <c r="G68" s="129"/>
      <c r="H68" s="129"/>
      <c r="I68" s="129"/>
      <c r="J68" s="129"/>
    </row>
    <row r="69" spans="1:10" x14ac:dyDescent="0.2">
      <c r="A69" s="128" t="s">
        <v>293</v>
      </c>
      <c r="B69" s="128"/>
      <c r="C69" s="128"/>
      <c r="D69" s="128"/>
      <c r="E69" s="128"/>
      <c r="F69" s="128"/>
      <c r="G69" s="128"/>
      <c r="H69" s="128"/>
      <c r="I69" s="128"/>
      <c r="J69" s="128"/>
    </row>
    <row r="70" spans="1:10" ht="33.75" customHeight="1" x14ac:dyDescent="0.2">
      <c r="A70" s="152" t="s">
        <v>243</v>
      </c>
      <c r="B70" s="151" t="s">
        <v>242</v>
      </c>
      <c r="C70" s="151"/>
      <c r="D70" s="151"/>
      <c r="E70" s="132" t="str">
        <f t="shared" ref="E70:J70" si="25">E26</f>
        <v>Actuals           2014-2015</v>
      </c>
      <c r="F70" s="132" t="str">
        <f t="shared" si="25"/>
        <v>Approved Estimates          2015-2016</v>
      </c>
      <c r="G70" s="132" t="str">
        <f t="shared" si="25"/>
        <v>Revised Estimates                 2015-2016</v>
      </c>
      <c r="H70" s="132" t="str">
        <f t="shared" si="25"/>
        <v>Budget Estimates      2016-2017</v>
      </c>
      <c r="I70" s="132" t="str">
        <f t="shared" si="25"/>
        <v>Forward Estimates     2017-2018</v>
      </c>
      <c r="J70" s="132" t="str">
        <f t="shared" si="25"/>
        <v>Forward Estimates     2018-2019</v>
      </c>
    </row>
    <row r="71" spans="1:10" x14ac:dyDescent="0.2">
      <c r="A71" s="207" t="s">
        <v>104</v>
      </c>
      <c r="B71" s="129" t="s">
        <v>1609</v>
      </c>
      <c r="C71" s="129" t="s">
        <v>1609</v>
      </c>
      <c r="D71" s="129" t="s">
        <v>1609</v>
      </c>
      <c r="E71" s="211">
        <v>5200</v>
      </c>
      <c r="F71" s="211">
        <v>0</v>
      </c>
      <c r="G71" s="211">
        <v>0</v>
      </c>
      <c r="H71" s="210">
        <v>0</v>
      </c>
      <c r="I71" s="211">
        <v>0</v>
      </c>
      <c r="J71" s="211">
        <v>0</v>
      </c>
    </row>
    <row r="72" spans="1:10" x14ac:dyDescent="0.2">
      <c r="A72" s="207" t="s">
        <v>108</v>
      </c>
      <c r="B72" s="129" t="s">
        <v>1610</v>
      </c>
      <c r="C72" s="129" t="s">
        <v>1610</v>
      </c>
      <c r="D72" s="129" t="s">
        <v>1610</v>
      </c>
      <c r="E72" s="211">
        <v>0</v>
      </c>
      <c r="F72" s="211">
        <v>0</v>
      </c>
      <c r="G72" s="211">
        <v>0</v>
      </c>
      <c r="H72" s="210">
        <v>0</v>
      </c>
      <c r="I72" s="211">
        <v>0</v>
      </c>
      <c r="J72" s="211">
        <v>0</v>
      </c>
    </row>
    <row r="73" spans="1:10" x14ac:dyDescent="0.2">
      <c r="A73" s="207">
        <v>135</v>
      </c>
      <c r="B73" s="129" t="s">
        <v>1611</v>
      </c>
      <c r="C73" s="129"/>
      <c r="D73" s="129"/>
      <c r="E73" s="211">
        <v>0</v>
      </c>
      <c r="F73" s="211">
        <v>50000</v>
      </c>
      <c r="G73" s="211">
        <v>50000</v>
      </c>
      <c r="H73" s="210">
        <v>70000</v>
      </c>
      <c r="I73" s="211">
        <v>80000</v>
      </c>
      <c r="J73" s="211">
        <v>80000</v>
      </c>
    </row>
    <row r="74" spans="1:10" x14ac:dyDescent="0.2">
      <c r="A74" s="207">
        <v>160</v>
      </c>
      <c r="B74" s="129" t="s">
        <v>1612</v>
      </c>
      <c r="C74" s="129" t="s">
        <v>1612</v>
      </c>
      <c r="D74" s="129" t="s">
        <v>1612</v>
      </c>
      <c r="E74" s="211">
        <v>99155</v>
      </c>
      <c r="F74" s="211">
        <v>105000</v>
      </c>
      <c r="G74" s="211">
        <v>20000</v>
      </c>
      <c r="H74" s="210">
        <v>105000</v>
      </c>
      <c r="I74" s="211">
        <v>105000</v>
      </c>
      <c r="J74" s="211">
        <v>105000</v>
      </c>
    </row>
    <row r="75" spans="1:10" x14ac:dyDescent="0.2">
      <c r="A75" s="207">
        <v>160</v>
      </c>
      <c r="B75" s="129" t="s">
        <v>1613</v>
      </c>
      <c r="C75" s="129" t="s">
        <v>1612</v>
      </c>
      <c r="D75" s="129" t="s">
        <v>1612</v>
      </c>
      <c r="E75" s="211">
        <v>89500</v>
      </c>
      <c r="F75" s="211">
        <v>60000</v>
      </c>
      <c r="G75" s="211">
        <v>85100</v>
      </c>
      <c r="H75" s="210">
        <v>60000</v>
      </c>
      <c r="I75" s="211">
        <v>60000</v>
      </c>
      <c r="J75" s="211">
        <v>60000</v>
      </c>
    </row>
    <row r="76" spans="1:10" x14ac:dyDescent="0.2">
      <c r="A76" s="207">
        <v>160</v>
      </c>
      <c r="B76" s="129" t="s">
        <v>1614</v>
      </c>
      <c r="C76" s="129" t="s">
        <v>1614</v>
      </c>
      <c r="D76" s="129" t="s">
        <v>1614</v>
      </c>
      <c r="E76" s="211">
        <v>90574.5</v>
      </c>
      <c r="F76" s="211">
        <v>80000</v>
      </c>
      <c r="G76" s="211">
        <v>85100</v>
      </c>
      <c r="H76" s="210">
        <v>80000</v>
      </c>
      <c r="I76" s="211">
        <v>80000</v>
      </c>
      <c r="J76" s="211">
        <v>80000</v>
      </c>
    </row>
    <row r="77" spans="1:10" x14ac:dyDescent="0.2">
      <c r="A77" s="207">
        <v>160</v>
      </c>
      <c r="B77" s="129" t="s">
        <v>1615</v>
      </c>
      <c r="C77" s="129" t="s">
        <v>1615</v>
      </c>
      <c r="D77" s="129" t="s">
        <v>1615</v>
      </c>
      <c r="E77" s="211">
        <v>65777</v>
      </c>
      <c r="F77" s="211">
        <v>60000</v>
      </c>
      <c r="G77" s="211">
        <v>44200</v>
      </c>
      <c r="H77" s="210">
        <v>60000</v>
      </c>
      <c r="I77" s="211">
        <v>60000</v>
      </c>
      <c r="J77" s="211">
        <v>60000</v>
      </c>
    </row>
    <row r="78" spans="1:10" x14ac:dyDescent="0.2">
      <c r="A78" s="207">
        <v>160</v>
      </c>
      <c r="B78" s="129" t="s">
        <v>1616</v>
      </c>
      <c r="C78" s="129" t="s">
        <v>1616</v>
      </c>
      <c r="D78" s="129" t="s">
        <v>1616</v>
      </c>
      <c r="E78" s="211">
        <v>7094.2599999999993</v>
      </c>
      <c r="F78" s="211">
        <v>5000</v>
      </c>
      <c r="G78" s="211">
        <v>9200</v>
      </c>
      <c r="H78" s="210">
        <v>5000</v>
      </c>
      <c r="I78" s="211">
        <v>5000</v>
      </c>
      <c r="J78" s="211">
        <v>5000</v>
      </c>
    </row>
    <row r="79" spans="1:10" x14ac:dyDescent="0.2">
      <c r="A79" s="137" t="s">
        <v>1605</v>
      </c>
      <c r="B79" s="137"/>
      <c r="C79" s="137"/>
      <c r="D79" s="137"/>
      <c r="E79" s="138">
        <f t="shared" ref="E79:J79" si="26">SUM(E71:E78)</f>
        <v>357300.76</v>
      </c>
      <c r="F79" s="138">
        <f t="shared" si="26"/>
        <v>360000</v>
      </c>
      <c r="G79" s="138">
        <f t="shared" si="26"/>
        <v>293600</v>
      </c>
      <c r="H79" s="138">
        <f t="shared" si="26"/>
        <v>380000</v>
      </c>
      <c r="I79" s="138">
        <f t="shared" si="26"/>
        <v>390000</v>
      </c>
      <c r="J79" s="138">
        <f t="shared" si="26"/>
        <v>390000</v>
      </c>
    </row>
    <row r="80" spans="1:10" x14ac:dyDescent="0.2">
      <c r="A80" s="129"/>
      <c r="B80" s="129"/>
      <c r="C80" s="129"/>
      <c r="D80" s="129"/>
      <c r="E80" s="129"/>
      <c r="F80" s="129"/>
      <c r="G80" s="129"/>
      <c r="H80" s="129"/>
      <c r="I80" s="129"/>
      <c r="J80" s="129"/>
    </row>
    <row r="81" spans="1:10" ht="15" customHeight="1" x14ac:dyDescent="0.2">
      <c r="A81" s="128" t="s">
        <v>284</v>
      </c>
      <c r="B81" s="128"/>
      <c r="C81" s="128"/>
      <c r="D81" s="128"/>
      <c r="E81" s="128"/>
      <c r="F81" s="128"/>
      <c r="G81" s="128"/>
      <c r="H81" s="128"/>
      <c r="I81" s="128"/>
      <c r="J81" s="128"/>
    </row>
    <row r="82" spans="1:10" ht="33.75" x14ac:dyDescent="0.2">
      <c r="A82" s="152" t="s">
        <v>243</v>
      </c>
      <c r="B82" s="151" t="s">
        <v>242</v>
      </c>
      <c r="C82" s="151"/>
      <c r="D82" s="151"/>
      <c r="E82" s="132" t="str">
        <f t="shared" ref="E82:J82" si="27">E26</f>
        <v>Actuals           2014-2015</v>
      </c>
      <c r="F82" s="132" t="str">
        <f t="shared" si="27"/>
        <v>Approved Estimates          2015-2016</v>
      </c>
      <c r="G82" s="132" t="str">
        <f t="shared" si="27"/>
        <v>Revised Estimates                 2015-2016</v>
      </c>
      <c r="H82" s="132" t="str">
        <f t="shared" si="27"/>
        <v>Budget Estimates      2016-2017</v>
      </c>
      <c r="I82" s="132" t="str">
        <f t="shared" si="27"/>
        <v>Forward Estimates     2017-2018</v>
      </c>
      <c r="J82" s="132" t="str">
        <f t="shared" si="27"/>
        <v>Forward Estimates     2018-2019</v>
      </c>
    </row>
    <row r="83" spans="1:10" ht="15" customHeight="1" x14ac:dyDescent="0.2">
      <c r="A83" s="151" t="s">
        <v>7</v>
      </c>
      <c r="B83" s="151"/>
      <c r="C83" s="151"/>
      <c r="D83" s="151"/>
      <c r="E83" s="151"/>
      <c r="F83" s="151"/>
      <c r="G83" s="151"/>
      <c r="H83" s="151"/>
      <c r="I83" s="151"/>
      <c r="J83" s="190"/>
    </row>
    <row r="84" spans="1:10" x14ac:dyDescent="0.2">
      <c r="A84" s="207">
        <v>210</v>
      </c>
      <c r="B84" s="129" t="s">
        <v>7</v>
      </c>
      <c r="C84" s="129"/>
      <c r="D84" s="129"/>
      <c r="E84" s="211">
        <v>775370.11</v>
      </c>
      <c r="F84" s="209">
        <v>783500</v>
      </c>
      <c r="G84" s="211">
        <v>783500</v>
      </c>
      <c r="H84" s="210">
        <v>785700</v>
      </c>
      <c r="I84" s="211">
        <v>787900</v>
      </c>
      <c r="J84" s="211">
        <v>790600</v>
      </c>
    </row>
    <row r="85" spans="1:10" x14ac:dyDescent="0.2">
      <c r="A85" s="207">
        <v>212</v>
      </c>
      <c r="B85" s="129" t="s">
        <v>9</v>
      </c>
      <c r="C85" s="129"/>
      <c r="D85" s="129"/>
      <c r="E85" s="211">
        <v>0</v>
      </c>
      <c r="F85" s="209">
        <v>0</v>
      </c>
      <c r="G85" s="211">
        <v>0</v>
      </c>
      <c r="H85" s="210">
        <v>0</v>
      </c>
      <c r="I85" s="211">
        <v>0</v>
      </c>
      <c r="J85" s="211">
        <v>0</v>
      </c>
    </row>
    <row r="86" spans="1:10" x14ac:dyDescent="0.2">
      <c r="A86" s="207">
        <v>216</v>
      </c>
      <c r="B86" s="129" t="s">
        <v>10</v>
      </c>
      <c r="C86" s="129"/>
      <c r="D86" s="129"/>
      <c r="E86" s="211">
        <v>242336.66</v>
      </c>
      <c r="F86" s="209">
        <v>255600</v>
      </c>
      <c r="G86" s="211">
        <v>255600</v>
      </c>
      <c r="H86" s="210">
        <v>255600</v>
      </c>
      <c r="I86" s="211">
        <v>255600</v>
      </c>
      <c r="J86" s="211">
        <v>255600</v>
      </c>
    </row>
    <row r="87" spans="1:10" x14ac:dyDescent="0.2">
      <c r="A87" s="207">
        <v>218</v>
      </c>
      <c r="B87" s="129" t="s">
        <v>294</v>
      </c>
      <c r="C87" s="129"/>
      <c r="D87" s="129"/>
      <c r="E87" s="211">
        <v>27427.5</v>
      </c>
      <c r="F87" s="209">
        <v>0</v>
      </c>
      <c r="G87" s="211">
        <v>0</v>
      </c>
      <c r="H87" s="210">
        <v>9200</v>
      </c>
      <c r="I87" s="211">
        <v>0</v>
      </c>
      <c r="J87" s="211">
        <v>9200</v>
      </c>
    </row>
    <row r="88" spans="1:10" ht="15" customHeight="1" x14ac:dyDescent="0.2">
      <c r="A88" s="156" t="s">
        <v>295</v>
      </c>
      <c r="B88" s="156"/>
      <c r="C88" s="156"/>
      <c r="D88" s="156"/>
      <c r="E88" s="157">
        <f t="shared" ref="E88:J88" si="28">SUM(E84:E87)</f>
        <v>1045134.27</v>
      </c>
      <c r="F88" s="157">
        <f t="shared" si="28"/>
        <v>1039100</v>
      </c>
      <c r="G88" s="157">
        <f t="shared" si="28"/>
        <v>1039100</v>
      </c>
      <c r="H88" s="157">
        <f t="shared" si="28"/>
        <v>1050500</v>
      </c>
      <c r="I88" s="157">
        <f t="shared" si="28"/>
        <v>1043500</v>
      </c>
      <c r="J88" s="157">
        <f t="shared" si="28"/>
        <v>1055400</v>
      </c>
    </row>
    <row r="89" spans="1:10" ht="15" customHeight="1" x14ac:dyDescent="0.2">
      <c r="A89" s="156" t="s">
        <v>296</v>
      </c>
      <c r="B89" s="156"/>
      <c r="C89" s="156"/>
      <c r="D89" s="156"/>
      <c r="E89" s="156"/>
      <c r="F89" s="156"/>
      <c r="G89" s="156"/>
      <c r="H89" s="156"/>
      <c r="I89" s="156"/>
      <c r="J89" s="190"/>
    </row>
    <row r="90" spans="1:10" x14ac:dyDescent="0.2">
      <c r="A90" s="207">
        <v>220</v>
      </c>
      <c r="B90" s="129" t="s">
        <v>204</v>
      </c>
      <c r="C90" s="129"/>
      <c r="D90" s="129"/>
      <c r="E90" s="211">
        <v>335.48</v>
      </c>
      <c r="F90" s="211">
        <v>8500</v>
      </c>
      <c r="G90" s="211">
        <v>8500</v>
      </c>
      <c r="H90" s="210">
        <v>8500</v>
      </c>
      <c r="I90" s="211">
        <v>8500</v>
      </c>
      <c r="J90" s="211">
        <v>8500</v>
      </c>
    </row>
    <row r="91" spans="1:10" x14ac:dyDescent="0.2">
      <c r="A91" s="207">
        <v>222</v>
      </c>
      <c r="B91" s="129" t="s">
        <v>205</v>
      </c>
      <c r="C91" s="129"/>
      <c r="D91" s="129"/>
      <c r="E91" s="211">
        <v>51459.39</v>
      </c>
      <c r="F91" s="211">
        <v>25000</v>
      </c>
      <c r="G91" s="211">
        <v>50000</v>
      </c>
      <c r="H91" s="210">
        <v>25000</v>
      </c>
      <c r="I91" s="211">
        <v>25000</v>
      </c>
      <c r="J91" s="211">
        <v>25000</v>
      </c>
    </row>
    <row r="92" spans="1:10" x14ac:dyDescent="0.2">
      <c r="A92" s="207">
        <v>226</v>
      </c>
      <c r="B92" s="129" t="s">
        <v>207</v>
      </c>
      <c r="C92" s="129"/>
      <c r="D92" s="129"/>
      <c r="E92" s="211">
        <v>18451.810000000001</v>
      </c>
      <c r="F92" s="211">
        <v>20000</v>
      </c>
      <c r="G92" s="211">
        <v>20000</v>
      </c>
      <c r="H92" s="210">
        <v>20000</v>
      </c>
      <c r="I92" s="211">
        <v>20000</v>
      </c>
      <c r="J92" s="211">
        <v>20000</v>
      </c>
    </row>
    <row r="93" spans="1:10" x14ac:dyDescent="0.2">
      <c r="A93" s="207">
        <v>228</v>
      </c>
      <c r="B93" s="129" t="s">
        <v>208</v>
      </c>
      <c r="C93" s="129"/>
      <c r="D93" s="129"/>
      <c r="E93" s="211">
        <v>9987.31</v>
      </c>
      <c r="F93" s="211">
        <v>35000</v>
      </c>
      <c r="G93" s="211">
        <v>30000</v>
      </c>
      <c r="H93" s="210">
        <v>35000</v>
      </c>
      <c r="I93" s="211">
        <v>35000</v>
      </c>
      <c r="J93" s="211">
        <v>35000</v>
      </c>
    </row>
    <row r="94" spans="1:10" x14ac:dyDescent="0.2">
      <c r="A94" s="207">
        <v>229</v>
      </c>
      <c r="B94" s="129" t="s">
        <v>209</v>
      </c>
      <c r="C94" s="129"/>
      <c r="D94" s="129"/>
      <c r="E94" s="211">
        <v>3975</v>
      </c>
      <c r="F94" s="211">
        <v>10000</v>
      </c>
      <c r="G94" s="211">
        <v>10000</v>
      </c>
      <c r="H94" s="210">
        <v>10000</v>
      </c>
      <c r="I94" s="211">
        <v>10000</v>
      </c>
      <c r="J94" s="211">
        <v>10000</v>
      </c>
    </row>
    <row r="95" spans="1:10" x14ac:dyDescent="0.2">
      <c r="A95" s="207">
        <v>230</v>
      </c>
      <c r="B95" s="129" t="s">
        <v>210</v>
      </c>
      <c r="C95" s="129"/>
      <c r="D95" s="129"/>
      <c r="E95" s="211">
        <v>1460</v>
      </c>
      <c r="F95" s="211">
        <v>2000</v>
      </c>
      <c r="G95" s="211">
        <v>2000</v>
      </c>
      <c r="H95" s="210">
        <v>2000</v>
      </c>
      <c r="I95" s="211">
        <v>2000</v>
      </c>
      <c r="J95" s="211">
        <v>2000</v>
      </c>
    </row>
    <row r="96" spans="1:10" x14ac:dyDescent="0.2">
      <c r="A96" s="207">
        <v>232</v>
      </c>
      <c r="B96" s="129" t="s">
        <v>211</v>
      </c>
      <c r="C96" s="129"/>
      <c r="D96" s="129"/>
      <c r="E96" s="211">
        <v>107733.39</v>
      </c>
      <c r="F96" s="211">
        <v>266400</v>
      </c>
      <c r="G96" s="211">
        <v>266400</v>
      </c>
      <c r="H96" s="210">
        <v>266400</v>
      </c>
      <c r="I96" s="211">
        <v>266400</v>
      </c>
      <c r="J96" s="211">
        <v>266400</v>
      </c>
    </row>
    <row r="97" spans="1:10" x14ac:dyDescent="0.2">
      <c r="A97" s="207">
        <v>236</v>
      </c>
      <c r="B97" s="129" t="s">
        <v>213</v>
      </c>
      <c r="C97" s="129"/>
      <c r="D97" s="129"/>
      <c r="E97" s="211">
        <v>559550.81000000006</v>
      </c>
      <c r="F97" s="211">
        <v>530000</v>
      </c>
      <c r="G97" s="211">
        <v>530000</v>
      </c>
      <c r="H97" s="210">
        <v>530000</v>
      </c>
      <c r="I97" s="211">
        <v>530000</v>
      </c>
      <c r="J97" s="211">
        <v>530000</v>
      </c>
    </row>
    <row r="98" spans="1:10" x14ac:dyDescent="0.2">
      <c r="A98" s="207">
        <v>246</v>
      </c>
      <c r="B98" s="129" t="s">
        <v>218</v>
      </c>
      <c r="C98" s="129"/>
      <c r="D98" s="129"/>
      <c r="E98" s="211">
        <v>4250.05</v>
      </c>
      <c r="F98" s="211">
        <v>4500</v>
      </c>
      <c r="G98" s="211">
        <v>4500</v>
      </c>
      <c r="H98" s="210">
        <v>4500</v>
      </c>
      <c r="I98" s="211">
        <v>4500</v>
      </c>
      <c r="J98" s="211">
        <v>4500</v>
      </c>
    </row>
    <row r="99" spans="1:10" x14ac:dyDescent="0.2">
      <c r="A99" s="207">
        <v>260</v>
      </c>
      <c r="B99" s="129" t="s">
        <v>220</v>
      </c>
      <c r="C99" s="129"/>
      <c r="D99" s="129"/>
      <c r="E99" s="211">
        <v>5825</v>
      </c>
      <c r="F99" s="211">
        <v>8500</v>
      </c>
      <c r="G99" s="211">
        <v>8500</v>
      </c>
      <c r="H99" s="210">
        <v>8500</v>
      </c>
      <c r="I99" s="211">
        <v>8500</v>
      </c>
      <c r="J99" s="211">
        <v>8500</v>
      </c>
    </row>
    <row r="100" spans="1:10" x14ac:dyDescent="0.2">
      <c r="A100" s="207">
        <v>261</v>
      </c>
      <c r="B100" s="129" t="s">
        <v>221</v>
      </c>
      <c r="C100" s="129"/>
      <c r="D100" s="129"/>
      <c r="E100" s="211">
        <v>0</v>
      </c>
      <c r="F100" s="211">
        <v>775000</v>
      </c>
      <c r="G100" s="211">
        <v>775000</v>
      </c>
      <c r="H100" s="210">
        <f>1195000+20000+30000</f>
        <v>1245000</v>
      </c>
      <c r="I100" s="211">
        <f t="shared" ref="I100:J100" si="29">1195000+20000+30000</f>
        <v>1245000</v>
      </c>
      <c r="J100" s="211">
        <f t="shared" si="29"/>
        <v>1245000</v>
      </c>
    </row>
    <row r="101" spans="1:10" x14ac:dyDescent="0.2">
      <c r="A101" s="207">
        <v>266</v>
      </c>
      <c r="B101" s="129" t="s">
        <v>223</v>
      </c>
      <c r="C101" s="129"/>
      <c r="D101" s="129"/>
      <c r="E101" s="211">
        <v>104061.75</v>
      </c>
      <c r="F101" s="211">
        <v>105000</v>
      </c>
      <c r="G101" s="211">
        <v>130000</v>
      </c>
      <c r="H101" s="210">
        <v>105000</v>
      </c>
      <c r="I101" s="211">
        <v>105000</v>
      </c>
      <c r="J101" s="211">
        <v>105000</v>
      </c>
    </row>
    <row r="102" spans="1:10" x14ac:dyDescent="0.2">
      <c r="A102" s="207">
        <v>275</v>
      </c>
      <c r="B102" s="129" t="s">
        <v>228</v>
      </c>
      <c r="C102" s="129"/>
      <c r="D102" s="129"/>
      <c r="E102" s="211">
        <v>10951.8</v>
      </c>
      <c r="F102" s="211">
        <v>5000</v>
      </c>
      <c r="G102" s="211">
        <v>10000</v>
      </c>
      <c r="H102" s="210">
        <v>5000</v>
      </c>
      <c r="I102" s="211">
        <v>5000</v>
      </c>
      <c r="J102" s="211">
        <v>5000</v>
      </c>
    </row>
    <row r="103" spans="1:10" x14ac:dyDescent="0.2">
      <c r="A103" s="207">
        <v>276</v>
      </c>
      <c r="B103" s="129" t="s">
        <v>229</v>
      </c>
      <c r="C103" s="129"/>
      <c r="D103" s="129"/>
      <c r="E103" s="211">
        <v>9924.67</v>
      </c>
      <c r="F103" s="211">
        <v>10000</v>
      </c>
      <c r="G103" s="211">
        <v>25000</v>
      </c>
      <c r="H103" s="210">
        <v>10000</v>
      </c>
      <c r="I103" s="211">
        <v>10000</v>
      </c>
      <c r="J103" s="211">
        <v>10000</v>
      </c>
    </row>
    <row r="104" spans="1:10" x14ac:dyDescent="0.2">
      <c r="A104" s="207">
        <v>281</v>
      </c>
      <c r="B104" s="129" t="s">
        <v>1472</v>
      </c>
      <c r="C104" s="129"/>
      <c r="D104" s="129"/>
      <c r="E104" s="211">
        <v>29181.040000000001</v>
      </c>
      <c r="F104" s="211">
        <v>30000</v>
      </c>
      <c r="G104" s="211">
        <v>30000</v>
      </c>
      <c r="H104" s="210">
        <v>25000</v>
      </c>
      <c r="I104" s="211">
        <v>25000</v>
      </c>
      <c r="J104" s="211">
        <v>25000</v>
      </c>
    </row>
    <row r="105" spans="1:10" ht="15" customHeight="1" x14ac:dyDescent="0.2">
      <c r="A105" s="156" t="s">
        <v>298</v>
      </c>
      <c r="B105" s="156"/>
      <c r="C105" s="156"/>
      <c r="D105" s="156"/>
      <c r="E105" s="157">
        <f t="shared" ref="E105:J105" si="30">SUM(E90:E104)</f>
        <v>917147.50000000023</v>
      </c>
      <c r="F105" s="157">
        <f t="shared" si="30"/>
        <v>1834900</v>
      </c>
      <c r="G105" s="157">
        <f t="shared" si="30"/>
        <v>1899900</v>
      </c>
      <c r="H105" s="157">
        <f t="shared" si="30"/>
        <v>2299900</v>
      </c>
      <c r="I105" s="157">
        <f t="shared" si="30"/>
        <v>2299900</v>
      </c>
      <c r="J105" s="157">
        <f t="shared" si="30"/>
        <v>2299900</v>
      </c>
    </row>
    <row r="106" spans="1:10" ht="15" customHeight="1" x14ac:dyDescent="0.2">
      <c r="A106" s="159" t="s">
        <v>299</v>
      </c>
      <c r="B106" s="159"/>
      <c r="C106" s="159"/>
      <c r="D106" s="159"/>
      <c r="E106" s="160">
        <f t="shared" ref="E106:J106" si="31">SUM(E88,E105)</f>
        <v>1962281.7700000003</v>
      </c>
      <c r="F106" s="160">
        <f t="shared" si="31"/>
        <v>2874000</v>
      </c>
      <c r="G106" s="160">
        <f t="shared" si="31"/>
        <v>2939000</v>
      </c>
      <c r="H106" s="160">
        <f t="shared" si="31"/>
        <v>3350400</v>
      </c>
      <c r="I106" s="160">
        <f t="shared" si="31"/>
        <v>3343400</v>
      </c>
      <c r="J106" s="160">
        <f t="shared" si="31"/>
        <v>3355300</v>
      </c>
    </row>
    <row r="107" spans="1:10" ht="11.25" customHeight="1" x14ac:dyDescent="0.2">
      <c r="A107" s="129"/>
      <c r="B107" s="129"/>
      <c r="C107" s="129"/>
      <c r="D107" s="129"/>
      <c r="E107" s="129"/>
      <c r="F107" s="129"/>
      <c r="G107" s="129"/>
      <c r="H107" s="129"/>
      <c r="I107" s="129"/>
      <c r="J107" s="190"/>
    </row>
    <row r="108" spans="1:10" x14ac:dyDescent="0.2">
      <c r="A108" s="162" t="s">
        <v>15</v>
      </c>
      <c r="B108" s="162"/>
      <c r="C108" s="162"/>
      <c r="D108" s="162"/>
      <c r="E108" s="162"/>
      <c r="F108" s="162"/>
      <c r="G108" s="162"/>
      <c r="H108" s="162"/>
      <c r="I108" s="162"/>
      <c r="J108" s="162"/>
    </row>
    <row r="109" spans="1:10" ht="18.75" customHeight="1" x14ac:dyDescent="0.2">
      <c r="A109" s="131" t="s">
        <v>242</v>
      </c>
      <c r="B109" s="131"/>
      <c r="C109" s="131"/>
      <c r="D109" s="131"/>
      <c r="E109" s="128" t="str">
        <f t="shared" ref="E109:J109" si="32">E26</f>
        <v>Actuals           2014-2015</v>
      </c>
      <c r="F109" s="128" t="str">
        <f t="shared" si="32"/>
        <v>Approved Estimates          2015-2016</v>
      </c>
      <c r="G109" s="128" t="str">
        <f t="shared" si="32"/>
        <v>Revised Estimates                 2015-2016</v>
      </c>
      <c r="H109" s="128" t="str">
        <f t="shared" si="32"/>
        <v>Budget Estimates      2016-2017</v>
      </c>
      <c r="I109" s="128" t="str">
        <f t="shared" si="32"/>
        <v>Forward Estimates     2017-2018</v>
      </c>
      <c r="J109" s="128" t="str">
        <f t="shared" si="32"/>
        <v>Forward Estimates     2018-2019</v>
      </c>
    </row>
    <row r="110" spans="1:10" ht="15" customHeight="1" x14ac:dyDescent="0.2">
      <c r="A110" s="130" t="s">
        <v>243</v>
      </c>
      <c r="B110" s="130" t="s">
        <v>244</v>
      </c>
      <c r="C110" s="131" t="s">
        <v>245</v>
      </c>
      <c r="D110" s="131"/>
      <c r="E110" s="101"/>
      <c r="F110" s="101"/>
      <c r="G110" s="101"/>
      <c r="H110" s="101"/>
      <c r="I110" s="101"/>
      <c r="J110" s="101"/>
    </row>
    <row r="111" spans="1:10" ht="15" customHeight="1" x14ac:dyDescent="0.2">
      <c r="A111" s="335" t="s">
        <v>1617</v>
      </c>
      <c r="B111" s="483" t="s">
        <v>1618</v>
      </c>
      <c r="C111" s="484" t="s">
        <v>1619</v>
      </c>
      <c r="D111" s="485"/>
      <c r="E111" s="158">
        <v>0</v>
      </c>
      <c r="F111" s="158">
        <v>0</v>
      </c>
      <c r="G111" s="158">
        <v>20700</v>
      </c>
      <c r="H111" s="136">
        <v>0</v>
      </c>
      <c r="I111" s="158">
        <v>0</v>
      </c>
      <c r="J111" s="135">
        <v>0</v>
      </c>
    </row>
    <row r="112" spans="1:10" ht="15" customHeight="1" x14ac:dyDescent="0.2">
      <c r="A112" s="335" t="s">
        <v>1620</v>
      </c>
      <c r="B112" s="483" t="s">
        <v>1621</v>
      </c>
      <c r="C112" s="484" t="s">
        <v>1622</v>
      </c>
      <c r="D112" s="485"/>
      <c r="E112" s="158">
        <v>0</v>
      </c>
      <c r="F112" s="158">
        <v>0</v>
      </c>
      <c r="G112" s="158">
        <v>117100</v>
      </c>
      <c r="H112" s="136">
        <v>0</v>
      </c>
      <c r="I112" s="158">
        <v>0</v>
      </c>
      <c r="J112" s="135">
        <v>0</v>
      </c>
    </row>
    <row r="113" spans="1:10" ht="15" customHeight="1" x14ac:dyDescent="0.2">
      <c r="A113" s="335" t="s">
        <v>1623</v>
      </c>
      <c r="B113" s="483" t="s">
        <v>847</v>
      </c>
      <c r="C113" s="484" t="s">
        <v>1624</v>
      </c>
      <c r="D113" s="485"/>
      <c r="E113" s="158">
        <v>0</v>
      </c>
      <c r="F113" s="158">
        <v>0</v>
      </c>
      <c r="G113" s="158">
        <v>763900</v>
      </c>
      <c r="H113" s="136">
        <v>0</v>
      </c>
      <c r="I113" s="158">
        <v>0</v>
      </c>
      <c r="J113" s="135">
        <v>0</v>
      </c>
    </row>
    <row r="114" spans="1:10" x14ac:dyDescent="0.2">
      <c r="A114" s="137" t="s">
        <v>15</v>
      </c>
      <c r="B114" s="137"/>
      <c r="C114" s="137"/>
      <c r="D114" s="137"/>
      <c r="E114" s="138">
        <f t="shared" ref="E114" si="33">SUM(E111:E113)</f>
        <v>0</v>
      </c>
      <c r="F114" s="138">
        <f t="shared" ref="F114" si="34">SUM(F111:F113)</f>
        <v>0</v>
      </c>
      <c r="G114" s="138">
        <f>SUM(G111:G113)</f>
        <v>901700</v>
      </c>
      <c r="H114" s="138">
        <f t="shared" ref="H114:J114" si="35">SUM(H111:H113)</f>
        <v>0</v>
      </c>
      <c r="I114" s="138">
        <f t="shared" si="35"/>
        <v>0</v>
      </c>
      <c r="J114" s="138">
        <f t="shared" si="35"/>
        <v>0</v>
      </c>
    </row>
    <row r="115" spans="1:10" ht="12.75" customHeight="1" x14ac:dyDescent="0.2">
      <c r="A115" s="290"/>
      <c r="B115" s="290"/>
      <c r="C115" s="290"/>
      <c r="D115" s="290"/>
      <c r="E115" s="290"/>
      <c r="F115" s="290"/>
      <c r="G115" s="290"/>
      <c r="H115" s="290"/>
      <c r="I115" s="290"/>
      <c r="J115" s="290"/>
    </row>
    <row r="116" spans="1:10" ht="12" customHeight="1" x14ac:dyDescent="0.2">
      <c r="A116" s="161" t="s">
        <v>288</v>
      </c>
      <c r="B116" s="161"/>
      <c r="C116" s="161"/>
      <c r="D116" s="161"/>
      <c r="E116" s="161"/>
      <c r="F116" s="161"/>
      <c r="G116" s="161"/>
      <c r="H116" s="161"/>
      <c r="I116" s="161"/>
      <c r="J116" s="161"/>
    </row>
    <row r="117" spans="1:10" ht="15" customHeight="1" x14ac:dyDescent="0.2">
      <c r="A117" s="131" t="s">
        <v>300</v>
      </c>
      <c r="B117" s="131"/>
      <c r="C117" s="131"/>
      <c r="D117" s="132" t="s">
        <v>301</v>
      </c>
      <c r="E117" s="132" t="s">
        <v>302</v>
      </c>
      <c r="F117" s="131" t="s">
        <v>300</v>
      </c>
      <c r="G117" s="131"/>
      <c r="H117" s="131"/>
      <c r="I117" s="132" t="s">
        <v>301</v>
      </c>
      <c r="J117" s="132" t="s">
        <v>302</v>
      </c>
    </row>
    <row r="118" spans="1:10" ht="15" customHeight="1" x14ac:dyDescent="0.2">
      <c r="A118" s="134" t="str">
        <f>Establishment!D503</f>
        <v>Minister</v>
      </c>
      <c r="B118" s="134"/>
      <c r="C118" s="134"/>
      <c r="D118" s="133">
        <f>Establishment!E503</f>
        <v>0</v>
      </c>
      <c r="E118" s="133">
        <f>Establishment!C503</f>
        <v>1</v>
      </c>
      <c r="F118" s="134" t="str">
        <f>Establishment!D509</f>
        <v>Computer Technician</v>
      </c>
      <c r="G118" s="134"/>
      <c r="H118" s="134"/>
      <c r="I118" s="133" t="str">
        <f>Establishment!E509</f>
        <v>R28-22</v>
      </c>
      <c r="J118" s="133">
        <f>Establishment!C509</f>
        <v>1</v>
      </c>
    </row>
    <row r="119" spans="1:10" ht="15" customHeight="1" x14ac:dyDescent="0.2">
      <c r="A119" s="134" t="str">
        <f>Establishment!D504</f>
        <v>Permanent Secretary</v>
      </c>
      <c r="B119" s="134"/>
      <c r="C119" s="134"/>
      <c r="D119" s="133" t="str">
        <f>Establishment!E504</f>
        <v>R5</v>
      </c>
      <c r="E119" s="133">
        <f>Establishment!C504</f>
        <v>1</v>
      </c>
      <c r="F119" s="134" t="str">
        <f>Establishment!D510</f>
        <v>Executive Officer</v>
      </c>
      <c r="G119" s="134"/>
      <c r="H119" s="134"/>
      <c r="I119" s="133" t="str">
        <f>Establishment!E510</f>
        <v>R28-22</v>
      </c>
      <c r="J119" s="133">
        <f>Establishment!C510</f>
        <v>1</v>
      </c>
    </row>
    <row r="120" spans="1:10" ht="15" customHeight="1" x14ac:dyDescent="0.2">
      <c r="A120" s="134" t="str">
        <f>Establishment!D505</f>
        <v>Director of Education</v>
      </c>
      <c r="B120" s="134"/>
      <c r="C120" s="134"/>
      <c r="D120" s="133" t="str">
        <f>Establishment!E505</f>
        <v>R7</v>
      </c>
      <c r="E120" s="133">
        <f>Establishment!C505</f>
        <v>1</v>
      </c>
      <c r="F120" s="134" t="str">
        <f>Establishment!D511</f>
        <v>Clerical Officer (Snr)</v>
      </c>
      <c r="G120" s="134"/>
      <c r="H120" s="134"/>
      <c r="I120" s="133" t="str">
        <f>Establishment!E511</f>
        <v>R33-29</v>
      </c>
      <c r="J120" s="133">
        <f>Establishment!C511</f>
        <v>1</v>
      </c>
    </row>
    <row r="121" spans="1:10" ht="15" customHeight="1" x14ac:dyDescent="0.2">
      <c r="A121" s="134" t="str">
        <f>Establishment!D506</f>
        <v>Education Officer</v>
      </c>
      <c r="B121" s="134"/>
      <c r="C121" s="134"/>
      <c r="D121" s="133" t="str">
        <f>Establishment!E506</f>
        <v>R12-8</v>
      </c>
      <c r="E121" s="133">
        <f>Establishment!C506</f>
        <v>3</v>
      </c>
      <c r="F121" s="134" t="str">
        <f>Establishment!D512</f>
        <v>Driver/Office Assistant</v>
      </c>
      <c r="G121" s="134"/>
      <c r="H121" s="134"/>
      <c r="I121" s="133" t="str">
        <f>Establishment!E512</f>
        <v>R38-31</v>
      </c>
      <c r="J121" s="133">
        <f>Establishment!C512</f>
        <v>1</v>
      </c>
    </row>
    <row r="122" spans="1:10" ht="15" customHeight="1" x14ac:dyDescent="0.2">
      <c r="A122" s="134" t="str">
        <f>Establishment!D507</f>
        <v>School Psychologist</v>
      </c>
      <c r="B122" s="134"/>
      <c r="C122" s="134"/>
      <c r="D122" s="133" t="str">
        <f>Establishment!E507</f>
        <v>R12-8</v>
      </c>
      <c r="E122" s="133">
        <f>Establishment!C507</f>
        <v>1</v>
      </c>
      <c r="F122" s="134" t="str">
        <f>Establishment!D513</f>
        <v>Clerical Officer</v>
      </c>
      <c r="G122" s="134"/>
      <c r="H122" s="134"/>
      <c r="I122" s="133" t="str">
        <f>Establishment!E513</f>
        <v>R46-34</v>
      </c>
      <c r="J122" s="133">
        <f>Establishment!C513</f>
        <v>1</v>
      </c>
    </row>
    <row r="123" spans="1:10" ht="10.5" customHeight="1" x14ac:dyDescent="0.2">
      <c r="A123" s="134" t="str">
        <f>Establishment!D508</f>
        <v>Assistant Secretary</v>
      </c>
      <c r="B123" s="134"/>
      <c r="C123" s="134"/>
      <c r="D123" s="133" t="str">
        <f>Establishment!E508</f>
        <v>R22-16</v>
      </c>
      <c r="E123" s="133">
        <f>Establishment!C508</f>
        <v>1</v>
      </c>
      <c r="F123" s="134"/>
      <c r="G123" s="134"/>
      <c r="H123" s="134"/>
      <c r="I123" s="133"/>
      <c r="J123" s="133"/>
    </row>
    <row r="124" spans="1:10" ht="12" customHeight="1" x14ac:dyDescent="0.2">
      <c r="A124" s="203" t="s">
        <v>303</v>
      </c>
      <c r="B124" s="203"/>
      <c r="C124" s="203"/>
      <c r="D124" s="203"/>
      <c r="E124" s="203"/>
      <c r="F124" s="203"/>
      <c r="G124" s="203"/>
      <c r="H124" s="203"/>
      <c r="I124" s="203"/>
      <c r="J124" s="204">
        <f>SUM(E118:E123,J118:J123)</f>
        <v>13</v>
      </c>
    </row>
    <row r="125" spans="1:10" ht="12" customHeight="1" x14ac:dyDescent="0.2">
      <c r="A125" s="129"/>
      <c r="B125" s="129"/>
      <c r="C125" s="129"/>
      <c r="D125" s="129"/>
      <c r="E125" s="129"/>
      <c r="F125" s="129"/>
      <c r="G125" s="129"/>
      <c r="H125" s="129"/>
      <c r="I125" s="129"/>
      <c r="J125" s="129"/>
    </row>
    <row r="126" spans="1:10" ht="12.75" customHeight="1" x14ac:dyDescent="0.2">
      <c r="A126" s="180" t="s">
        <v>304</v>
      </c>
      <c r="B126" s="180"/>
      <c r="C126" s="180"/>
      <c r="D126" s="180"/>
      <c r="E126" s="180"/>
      <c r="F126" s="180"/>
      <c r="G126" s="180"/>
      <c r="H126" s="180"/>
      <c r="I126" s="180"/>
      <c r="J126" s="180"/>
    </row>
    <row r="127" spans="1:10" x14ac:dyDescent="0.2">
      <c r="A127" s="181" t="s">
        <v>305</v>
      </c>
      <c r="B127" s="181"/>
      <c r="C127" s="181"/>
      <c r="D127" s="181"/>
      <c r="E127" s="181"/>
      <c r="F127" s="181"/>
      <c r="G127" s="181"/>
      <c r="H127" s="181"/>
      <c r="I127" s="181"/>
      <c r="J127" s="181"/>
    </row>
    <row r="128" spans="1:10" ht="23.25" customHeight="1" x14ac:dyDescent="0.2">
      <c r="A128" s="182" t="s">
        <v>1625</v>
      </c>
      <c r="B128" s="129"/>
      <c r="C128" s="129"/>
      <c r="D128" s="129"/>
      <c r="E128" s="129"/>
      <c r="F128" s="129"/>
      <c r="G128" s="129"/>
      <c r="H128" s="129"/>
      <c r="I128" s="129"/>
      <c r="J128" s="129"/>
    </row>
    <row r="129" spans="1:10" ht="23.25" customHeight="1" x14ac:dyDescent="0.2">
      <c r="A129" s="182" t="s">
        <v>1626</v>
      </c>
      <c r="B129" s="129"/>
      <c r="C129" s="129"/>
      <c r="D129" s="129"/>
      <c r="E129" s="129"/>
      <c r="F129" s="129"/>
      <c r="G129" s="129"/>
      <c r="H129" s="129"/>
      <c r="I129" s="129"/>
      <c r="J129" s="129"/>
    </row>
    <row r="130" spans="1:10" ht="23.25" customHeight="1" x14ac:dyDescent="0.2">
      <c r="A130" s="129" t="s">
        <v>1627</v>
      </c>
      <c r="B130" s="129"/>
      <c r="C130" s="129"/>
      <c r="D130" s="129"/>
      <c r="E130" s="129"/>
      <c r="F130" s="129"/>
      <c r="G130" s="129"/>
      <c r="H130" s="129"/>
      <c r="I130" s="129"/>
      <c r="J130" s="129"/>
    </row>
    <row r="131" spans="1:10" ht="23.25" customHeight="1" x14ac:dyDescent="0.2">
      <c r="A131" s="129" t="s">
        <v>1628</v>
      </c>
      <c r="B131" s="129"/>
      <c r="C131" s="129"/>
      <c r="D131" s="129"/>
      <c r="E131" s="129"/>
      <c r="F131" s="129"/>
      <c r="G131" s="129"/>
      <c r="H131" s="129"/>
      <c r="I131" s="129"/>
      <c r="J131" s="129"/>
    </row>
    <row r="132" spans="1:10" x14ac:dyDescent="0.2">
      <c r="A132" s="129"/>
      <c r="B132" s="129"/>
      <c r="C132" s="129"/>
      <c r="D132" s="129"/>
      <c r="E132" s="129"/>
      <c r="F132" s="129"/>
      <c r="G132" s="129"/>
      <c r="H132" s="129"/>
      <c r="I132" s="129"/>
      <c r="J132" s="129"/>
    </row>
    <row r="133" spans="1:10" x14ac:dyDescent="0.2">
      <c r="A133" s="183" t="s">
        <v>415</v>
      </c>
      <c r="B133" s="183"/>
      <c r="C133" s="183"/>
      <c r="D133" s="183"/>
      <c r="E133" s="183"/>
      <c r="F133" s="183"/>
      <c r="G133" s="183"/>
      <c r="H133" s="183"/>
      <c r="I133" s="183"/>
      <c r="J133" s="183"/>
    </row>
    <row r="134" spans="1:10" ht="36.75" customHeight="1" x14ac:dyDescent="0.2">
      <c r="A134" s="129" t="s">
        <v>1629</v>
      </c>
      <c r="B134" s="129"/>
      <c r="C134" s="129"/>
      <c r="D134" s="129"/>
      <c r="E134" s="129"/>
      <c r="F134" s="129"/>
      <c r="G134" s="129"/>
      <c r="H134" s="129"/>
      <c r="I134" s="129"/>
      <c r="J134" s="129"/>
    </row>
    <row r="135" spans="1:10" x14ac:dyDescent="0.2">
      <c r="A135" s="129"/>
      <c r="B135" s="129"/>
      <c r="C135" s="129"/>
      <c r="D135" s="129"/>
      <c r="E135" s="129"/>
      <c r="F135" s="129"/>
      <c r="G135" s="129"/>
      <c r="H135" s="129"/>
      <c r="I135" s="129"/>
      <c r="J135" s="129"/>
    </row>
    <row r="136" spans="1:10" ht="22.5" x14ac:dyDescent="0.2">
      <c r="A136" s="180" t="s">
        <v>315</v>
      </c>
      <c r="B136" s="180"/>
      <c r="C136" s="180"/>
      <c r="D136" s="180"/>
      <c r="E136" s="180"/>
      <c r="F136" s="184" t="s">
        <v>2995</v>
      </c>
      <c r="G136" s="184" t="s">
        <v>2996</v>
      </c>
      <c r="H136" s="184" t="s">
        <v>2997</v>
      </c>
      <c r="I136" s="184" t="s">
        <v>2998</v>
      </c>
      <c r="J136" s="184" t="s">
        <v>2999</v>
      </c>
    </row>
    <row r="137" spans="1:10" ht="12.75" customHeight="1" x14ac:dyDescent="0.2">
      <c r="A137" s="180" t="s">
        <v>316</v>
      </c>
      <c r="B137" s="180"/>
      <c r="C137" s="180"/>
      <c r="D137" s="180"/>
      <c r="E137" s="180"/>
      <c r="F137" s="180"/>
      <c r="G137" s="180"/>
      <c r="H137" s="180"/>
      <c r="I137" s="180"/>
      <c r="J137" s="180"/>
    </row>
    <row r="138" spans="1:10" ht="21.75" customHeight="1" x14ac:dyDescent="0.2">
      <c r="A138" s="269" t="s">
        <v>1630</v>
      </c>
      <c r="B138" s="269"/>
      <c r="C138" s="269"/>
      <c r="D138" s="269"/>
      <c r="E138" s="269"/>
      <c r="F138" s="272" t="s">
        <v>568</v>
      </c>
      <c r="G138" s="272" t="s">
        <v>1631</v>
      </c>
      <c r="H138" s="272" t="s">
        <v>1632</v>
      </c>
      <c r="I138" s="272" t="s">
        <v>1633</v>
      </c>
      <c r="J138" s="272" t="s">
        <v>658</v>
      </c>
    </row>
    <row r="139" spans="1:10" s="418" customFormat="1" ht="33.75" x14ac:dyDescent="0.2">
      <c r="A139" s="296" t="s">
        <v>1634</v>
      </c>
      <c r="B139" s="296"/>
      <c r="C139" s="296"/>
      <c r="D139" s="296"/>
      <c r="E139" s="296"/>
      <c r="F139" s="432" t="s">
        <v>1635</v>
      </c>
      <c r="G139" s="432" t="s">
        <v>1636</v>
      </c>
      <c r="H139" s="432" t="s">
        <v>1637</v>
      </c>
      <c r="I139" s="432" t="s">
        <v>1637</v>
      </c>
      <c r="J139" s="432" t="s">
        <v>1637</v>
      </c>
    </row>
    <row r="140" spans="1:10" x14ac:dyDescent="0.2">
      <c r="A140" s="296"/>
      <c r="B140" s="296"/>
      <c r="C140" s="296"/>
      <c r="D140" s="296"/>
      <c r="E140" s="296"/>
      <c r="F140" s="273"/>
      <c r="G140" s="190"/>
      <c r="H140" s="190"/>
      <c r="I140" s="190"/>
      <c r="J140" s="190"/>
    </row>
    <row r="141" spans="1:10" ht="12" customHeight="1" x14ac:dyDescent="0.2">
      <c r="A141" s="180" t="s">
        <v>324</v>
      </c>
      <c r="B141" s="180"/>
      <c r="C141" s="180"/>
      <c r="D141" s="180"/>
      <c r="E141" s="180"/>
      <c r="F141" s="180"/>
      <c r="G141" s="180"/>
      <c r="H141" s="180"/>
      <c r="I141" s="180"/>
      <c r="J141" s="180"/>
    </row>
    <row r="142" spans="1:10" ht="21.75" customHeight="1" x14ac:dyDescent="0.2">
      <c r="A142" s="269" t="s">
        <v>1638</v>
      </c>
      <c r="B142" s="269"/>
      <c r="C142" s="269"/>
      <c r="D142" s="269"/>
      <c r="E142" s="269"/>
      <c r="F142" s="272" t="s">
        <v>1639</v>
      </c>
      <c r="G142" s="272" t="s">
        <v>568</v>
      </c>
      <c r="H142" s="272" t="s">
        <v>1633</v>
      </c>
      <c r="I142" s="272" t="s">
        <v>658</v>
      </c>
      <c r="J142" s="272" t="s">
        <v>658</v>
      </c>
    </row>
    <row r="143" spans="1:10" ht="33.75" x14ac:dyDescent="0.2">
      <c r="A143" s="269" t="s">
        <v>1640</v>
      </c>
      <c r="B143" s="269"/>
      <c r="C143" s="269"/>
      <c r="D143" s="269"/>
      <c r="E143" s="269"/>
      <c r="F143" s="432" t="s">
        <v>1641</v>
      </c>
      <c r="G143" s="432" t="s">
        <v>1642</v>
      </c>
      <c r="H143" s="432" t="s">
        <v>1643</v>
      </c>
      <c r="I143" s="432" t="s">
        <v>1643</v>
      </c>
      <c r="J143" s="432" t="s">
        <v>1644</v>
      </c>
    </row>
    <row r="144" spans="1:10" ht="22.5" x14ac:dyDescent="0.2">
      <c r="A144" s="269" t="s">
        <v>1645</v>
      </c>
      <c r="B144" s="269"/>
      <c r="C144" s="269"/>
      <c r="D144" s="269"/>
      <c r="E144" s="269"/>
      <c r="F144" s="305" t="s">
        <v>1646</v>
      </c>
      <c r="G144" s="305" t="s">
        <v>1647</v>
      </c>
      <c r="H144" s="305" t="s">
        <v>1648</v>
      </c>
      <c r="I144" s="305" t="s">
        <v>1649</v>
      </c>
      <c r="J144" s="305" t="s">
        <v>1650</v>
      </c>
    </row>
    <row r="145" spans="1:10" ht="21.75" customHeight="1" x14ac:dyDescent="0.2">
      <c r="A145" s="269" t="s">
        <v>1651</v>
      </c>
      <c r="B145" s="269"/>
      <c r="C145" s="269"/>
      <c r="D145" s="269"/>
      <c r="E145" s="269"/>
      <c r="F145" s="270">
        <v>0.9</v>
      </c>
      <c r="G145" s="270">
        <v>0.9</v>
      </c>
      <c r="H145" s="270">
        <v>0.9</v>
      </c>
      <c r="I145" s="270">
        <v>0.9</v>
      </c>
      <c r="J145" s="270">
        <v>0.9</v>
      </c>
    </row>
    <row r="146" spans="1:10" ht="15" customHeight="1" x14ac:dyDescent="0.2">
      <c r="A146" s="129"/>
      <c r="B146" s="129"/>
      <c r="C146" s="129"/>
      <c r="D146" s="129"/>
      <c r="E146" s="129"/>
      <c r="F146" s="129"/>
      <c r="G146" s="129"/>
      <c r="H146" s="129"/>
      <c r="I146" s="129"/>
      <c r="J146" s="129"/>
    </row>
    <row r="147" spans="1:10" x14ac:dyDescent="0.2">
      <c r="A147" s="150" t="s">
        <v>1652</v>
      </c>
      <c r="B147" s="150"/>
      <c r="C147" s="150"/>
      <c r="D147" s="150"/>
      <c r="E147" s="150"/>
      <c r="F147" s="150"/>
      <c r="G147" s="150"/>
      <c r="H147" s="150"/>
      <c r="I147" s="150"/>
      <c r="J147" s="150"/>
    </row>
    <row r="148" spans="1:10" x14ac:dyDescent="0.2">
      <c r="A148" s="389" t="s">
        <v>291</v>
      </c>
      <c r="B148" s="389"/>
      <c r="C148" s="389"/>
      <c r="D148" s="389"/>
      <c r="E148" s="389"/>
      <c r="F148" s="389"/>
      <c r="G148" s="389"/>
      <c r="H148" s="389"/>
      <c r="I148" s="389"/>
      <c r="J148" s="389"/>
    </row>
    <row r="149" spans="1:10" hidden="1" x14ac:dyDescent="0.2">
      <c r="A149" s="129" t="s">
        <v>1653</v>
      </c>
      <c r="B149" s="129"/>
      <c r="C149" s="129"/>
      <c r="D149" s="129"/>
      <c r="E149" s="129"/>
      <c r="F149" s="129"/>
      <c r="G149" s="129"/>
      <c r="H149" s="129"/>
      <c r="I149" s="129"/>
      <c r="J149" s="129"/>
    </row>
    <row r="150" spans="1:10" ht="33.75" hidden="1" customHeight="1" x14ac:dyDescent="0.2">
      <c r="A150" s="128" t="s">
        <v>293</v>
      </c>
      <c r="B150" s="128"/>
      <c r="C150" s="128"/>
      <c r="D150" s="128"/>
      <c r="E150" s="128"/>
      <c r="F150" s="128"/>
      <c r="G150" s="128"/>
      <c r="H150" s="128"/>
      <c r="I150" s="128"/>
      <c r="J150" s="128"/>
    </row>
    <row r="151" spans="1:10" ht="15" hidden="1" customHeight="1" x14ac:dyDescent="0.2">
      <c r="A151" s="152" t="s">
        <v>243</v>
      </c>
      <c r="B151" s="151" t="s">
        <v>242</v>
      </c>
      <c r="C151" s="151"/>
      <c r="D151" s="151"/>
      <c r="E151" s="132" t="s">
        <v>793</v>
      </c>
      <c r="F151" s="132" t="s">
        <v>794</v>
      </c>
      <c r="G151" s="132" t="s">
        <v>795</v>
      </c>
      <c r="H151" s="132" t="s">
        <v>796</v>
      </c>
      <c r="I151" s="132" t="s">
        <v>797</v>
      </c>
      <c r="J151" s="132" t="s">
        <v>798</v>
      </c>
    </row>
    <row r="152" spans="1:10" x14ac:dyDescent="0.2">
      <c r="A152" s="129" t="s">
        <v>1654</v>
      </c>
      <c r="B152" s="129"/>
      <c r="C152" s="129"/>
      <c r="D152" s="129"/>
      <c r="E152" s="129"/>
      <c r="F152" s="129"/>
      <c r="G152" s="129"/>
      <c r="H152" s="129"/>
      <c r="I152" s="129"/>
      <c r="J152" s="129"/>
    </row>
    <row r="153" spans="1:10" x14ac:dyDescent="0.2">
      <c r="A153" s="137" t="s">
        <v>1605</v>
      </c>
      <c r="B153" s="137"/>
      <c r="C153" s="137"/>
      <c r="D153" s="137"/>
      <c r="E153" s="138">
        <f t="shared" ref="E153:J153" si="36">SUM(E152:E152)</f>
        <v>0</v>
      </c>
      <c r="F153" s="138">
        <f t="shared" si="36"/>
        <v>0</v>
      </c>
      <c r="G153" s="138">
        <f t="shared" si="36"/>
        <v>0</v>
      </c>
      <c r="H153" s="138">
        <f t="shared" si="36"/>
        <v>0</v>
      </c>
      <c r="I153" s="138">
        <f t="shared" si="36"/>
        <v>0</v>
      </c>
      <c r="J153" s="138">
        <f t="shared" si="36"/>
        <v>0</v>
      </c>
    </row>
    <row r="154" spans="1:10" ht="15" customHeight="1" x14ac:dyDescent="0.2">
      <c r="A154" s="129"/>
      <c r="B154" s="129"/>
      <c r="C154" s="129"/>
      <c r="D154" s="129"/>
      <c r="E154" s="129"/>
      <c r="F154" s="129"/>
      <c r="G154" s="129"/>
      <c r="H154" s="129"/>
      <c r="I154" s="129"/>
      <c r="J154" s="129"/>
    </row>
    <row r="155" spans="1:10" x14ac:dyDescent="0.2">
      <c r="A155" s="128" t="s">
        <v>284</v>
      </c>
      <c r="B155" s="128"/>
      <c r="C155" s="128"/>
      <c r="D155" s="128"/>
      <c r="E155" s="128"/>
      <c r="F155" s="128"/>
      <c r="G155" s="128"/>
      <c r="H155" s="128"/>
      <c r="I155" s="128"/>
      <c r="J155" s="128"/>
    </row>
    <row r="156" spans="1:10" ht="33.75" x14ac:dyDescent="0.2">
      <c r="A156" s="152" t="s">
        <v>243</v>
      </c>
      <c r="B156" s="151" t="s">
        <v>242</v>
      </c>
      <c r="C156" s="151"/>
      <c r="D156" s="151"/>
      <c r="E156" s="132" t="str">
        <f t="shared" ref="E156:J156" si="37">E26</f>
        <v>Actuals           2014-2015</v>
      </c>
      <c r="F156" s="132" t="str">
        <f t="shared" si="37"/>
        <v>Approved Estimates          2015-2016</v>
      </c>
      <c r="G156" s="132" t="str">
        <f t="shared" si="37"/>
        <v>Revised Estimates                 2015-2016</v>
      </c>
      <c r="H156" s="132" t="str">
        <f t="shared" si="37"/>
        <v>Budget Estimates      2016-2017</v>
      </c>
      <c r="I156" s="132" t="str">
        <f t="shared" si="37"/>
        <v>Forward Estimates     2017-2018</v>
      </c>
      <c r="J156" s="132" t="str">
        <f t="shared" si="37"/>
        <v>Forward Estimates     2018-2019</v>
      </c>
    </row>
    <row r="157" spans="1:10" x14ac:dyDescent="0.2">
      <c r="A157" s="151" t="s">
        <v>7</v>
      </c>
      <c r="B157" s="151"/>
      <c r="C157" s="151"/>
      <c r="D157" s="151"/>
      <c r="E157" s="151"/>
      <c r="F157" s="151"/>
      <c r="G157" s="151"/>
      <c r="H157" s="151"/>
      <c r="I157" s="151"/>
      <c r="J157" s="190"/>
    </row>
    <row r="158" spans="1:10" x14ac:dyDescent="0.2">
      <c r="A158" s="207">
        <v>210</v>
      </c>
      <c r="B158" s="129" t="s">
        <v>7</v>
      </c>
      <c r="C158" s="129"/>
      <c r="D158" s="129"/>
      <c r="E158" s="211">
        <v>1129894.53</v>
      </c>
      <c r="F158" s="209">
        <v>1249500</v>
      </c>
      <c r="G158" s="211">
        <v>1239500</v>
      </c>
      <c r="H158" s="210">
        <v>1381200</v>
      </c>
      <c r="I158" s="211">
        <v>1416500</v>
      </c>
      <c r="J158" s="211">
        <v>1451800</v>
      </c>
    </row>
    <row r="159" spans="1:10" x14ac:dyDescent="0.2">
      <c r="A159" s="207">
        <v>212</v>
      </c>
      <c r="B159" s="129" t="s">
        <v>9</v>
      </c>
      <c r="C159" s="129"/>
      <c r="D159" s="129"/>
      <c r="E159" s="211">
        <v>46083.3</v>
      </c>
      <c r="F159" s="209">
        <v>63400</v>
      </c>
      <c r="G159" s="211">
        <v>73400</v>
      </c>
      <c r="H159" s="210">
        <v>68200</v>
      </c>
      <c r="I159" s="211">
        <v>68200</v>
      </c>
      <c r="J159" s="211">
        <v>68200</v>
      </c>
    </row>
    <row r="160" spans="1:10" x14ac:dyDescent="0.2">
      <c r="A160" s="207">
        <v>216</v>
      </c>
      <c r="B160" s="129" t="s">
        <v>10</v>
      </c>
      <c r="C160" s="129"/>
      <c r="D160" s="129"/>
      <c r="E160" s="211">
        <v>15963</v>
      </c>
      <c r="F160" s="209">
        <v>17500</v>
      </c>
      <c r="G160" s="211">
        <v>17500</v>
      </c>
      <c r="H160" s="210">
        <v>17500</v>
      </c>
      <c r="I160" s="211">
        <v>17500</v>
      </c>
      <c r="J160" s="211">
        <v>17500</v>
      </c>
    </row>
    <row r="161" spans="1:10" x14ac:dyDescent="0.2">
      <c r="A161" s="207">
        <v>218</v>
      </c>
      <c r="B161" s="129" t="s">
        <v>294</v>
      </c>
      <c r="C161" s="129"/>
      <c r="D161" s="129"/>
      <c r="E161" s="211">
        <v>0</v>
      </c>
      <c r="F161" s="209">
        <v>0</v>
      </c>
      <c r="G161" s="211">
        <v>0</v>
      </c>
      <c r="H161" s="210">
        <v>0</v>
      </c>
      <c r="I161" s="211">
        <v>0</v>
      </c>
      <c r="J161" s="211">
        <v>0</v>
      </c>
    </row>
    <row r="162" spans="1:10" ht="15" customHeight="1" x14ac:dyDescent="0.2">
      <c r="A162" s="156" t="s">
        <v>295</v>
      </c>
      <c r="B162" s="156"/>
      <c r="C162" s="156"/>
      <c r="D162" s="156"/>
      <c r="E162" s="157">
        <f t="shared" ref="E162:J162" si="38">SUM(E158:E161)</f>
        <v>1191940.83</v>
      </c>
      <c r="F162" s="157">
        <f t="shared" si="38"/>
        <v>1330400</v>
      </c>
      <c r="G162" s="157">
        <f t="shared" si="38"/>
        <v>1330400</v>
      </c>
      <c r="H162" s="157">
        <f t="shared" si="38"/>
        <v>1466900</v>
      </c>
      <c r="I162" s="157">
        <f t="shared" si="38"/>
        <v>1502200</v>
      </c>
      <c r="J162" s="157">
        <f t="shared" si="38"/>
        <v>1537500</v>
      </c>
    </row>
    <row r="163" spans="1:10" ht="15" customHeight="1" x14ac:dyDescent="0.2">
      <c r="A163" s="156" t="s">
        <v>296</v>
      </c>
      <c r="B163" s="156"/>
      <c r="C163" s="156"/>
      <c r="D163" s="156"/>
      <c r="E163" s="156"/>
      <c r="F163" s="156"/>
      <c r="G163" s="156"/>
      <c r="H163" s="156"/>
      <c r="I163" s="156"/>
      <c r="J163" s="190"/>
    </row>
    <row r="164" spans="1:10" ht="14.25" customHeight="1" x14ac:dyDescent="0.2">
      <c r="A164" s="207">
        <v>220</v>
      </c>
      <c r="B164" s="307" t="s">
        <v>204</v>
      </c>
      <c r="C164" s="308"/>
      <c r="D164" s="309"/>
      <c r="E164" s="211">
        <v>5446.58</v>
      </c>
      <c r="F164" s="211">
        <v>10000</v>
      </c>
      <c r="G164" s="211">
        <v>10000</v>
      </c>
      <c r="H164" s="210">
        <v>10000</v>
      </c>
      <c r="I164" s="211">
        <v>10000</v>
      </c>
      <c r="J164" s="211">
        <v>10000</v>
      </c>
    </row>
    <row r="165" spans="1:10" ht="14.25" customHeight="1" x14ac:dyDescent="0.2">
      <c r="A165" s="207">
        <v>224</v>
      </c>
      <c r="B165" s="495" t="s">
        <v>206</v>
      </c>
      <c r="C165" s="496"/>
      <c r="D165" s="497"/>
      <c r="E165" s="211">
        <v>43727.86</v>
      </c>
      <c r="F165" s="211">
        <v>50000</v>
      </c>
      <c r="G165" s="211">
        <v>50000</v>
      </c>
      <c r="H165" s="210">
        <v>45000</v>
      </c>
      <c r="I165" s="211">
        <v>45000</v>
      </c>
      <c r="J165" s="211">
        <v>45000</v>
      </c>
    </row>
    <row r="166" spans="1:10" ht="14.25" customHeight="1" x14ac:dyDescent="0.2">
      <c r="A166" s="207">
        <v>226</v>
      </c>
      <c r="B166" s="495" t="s">
        <v>207</v>
      </c>
      <c r="C166" s="496"/>
      <c r="D166" s="497"/>
      <c r="E166" s="211">
        <v>3866.97</v>
      </c>
      <c r="F166" s="211">
        <v>5500</v>
      </c>
      <c r="G166" s="211">
        <v>5500</v>
      </c>
      <c r="H166" s="210">
        <v>5500</v>
      </c>
      <c r="I166" s="211">
        <v>5500</v>
      </c>
      <c r="J166" s="211">
        <v>5500</v>
      </c>
    </row>
    <row r="167" spans="1:10" ht="14.25" customHeight="1" x14ac:dyDescent="0.2">
      <c r="A167" s="207">
        <v>228</v>
      </c>
      <c r="B167" s="495" t="s">
        <v>208</v>
      </c>
      <c r="C167" s="496"/>
      <c r="D167" s="497"/>
      <c r="E167" s="211">
        <v>31000.21</v>
      </c>
      <c r="F167" s="211">
        <v>30000</v>
      </c>
      <c r="G167" s="211">
        <v>40000</v>
      </c>
      <c r="H167" s="210">
        <f>30000+10000</f>
        <v>40000</v>
      </c>
      <c r="I167" s="211">
        <f t="shared" ref="I167:J167" si="39">30000+10000</f>
        <v>40000</v>
      </c>
      <c r="J167" s="211">
        <f t="shared" si="39"/>
        <v>40000</v>
      </c>
    </row>
    <row r="168" spans="1:10" ht="14.25" customHeight="1" x14ac:dyDescent="0.2">
      <c r="A168" s="207">
        <v>229</v>
      </c>
      <c r="B168" s="495" t="s">
        <v>209</v>
      </c>
      <c r="C168" s="496"/>
      <c r="D168" s="497"/>
      <c r="E168" s="211">
        <v>6890</v>
      </c>
      <c r="F168" s="211">
        <v>10000</v>
      </c>
      <c r="G168" s="211">
        <v>10000</v>
      </c>
      <c r="H168" s="210">
        <f>10000+10000</f>
        <v>20000</v>
      </c>
      <c r="I168" s="211">
        <f t="shared" ref="I168:J168" si="40">10000+10000</f>
        <v>20000</v>
      </c>
      <c r="J168" s="211">
        <f t="shared" si="40"/>
        <v>20000</v>
      </c>
    </row>
    <row r="169" spans="1:10" ht="14.25" customHeight="1" x14ac:dyDescent="0.2">
      <c r="A169" s="207">
        <v>232</v>
      </c>
      <c r="B169" s="495" t="s">
        <v>211</v>
      </c>
      <c r="C169" s="496"/>
      <c r="D169" s="497"/>
      <c r="E169" s="211">
        <v>38316.32</v>
      </c>
      <c r="F169" s="211">
        <v>30000</v>
      </c>
      <c r="G169" s="211">
        <v>30000</v>
      </c>
      <c r="H169" s="210">
        <v>30000</v>
      </c>
      <c r="I169" s="211">
        <v>30000</v>
      </c>
      <c r="J169" s="211">
        <v>30000</v>
      </c>
    </row>
    <row r="170" spans="1:10" ht="14.25" customHeight="1" x14ac:dyDescent="0.2">
      <c r="A170" s="207">
        <v>275</v>
      </c>
      <c r="B170" s="307" t="s">
        <v>228</v>
      </c>
      <c r="C170" s="308"/>
      <c r="D170" s="309"/>
      <c r="E170" s="211">
        <v>9839.5</v>
      </c>
      <c r="F170" s="211">
        <v>10000</v>
      </c>
      <c r="G170" s="211">
        <v>10000</v>
      </c>
      <c r="H170" s="210">
        <v>10000</v>
      </c>
      <c r="I170" s="211">
        <v>10000</v>
      </c>
      <c r="J170" s="211">
        <v>10000</v>
      </c>
    </row>
    <row r="171" spans="1:10" ht="15" customHeight="1" x14ac:dyDescent="0.2">
      <c r="A171" s="156" t="s">
        <v>298</v>
      </c>
      <c r="B171" s="156"/>
      <c r="C171" s="156"/>
      <c r="D171" s="156"/>
      <c r="E171" s="157">
        <f t="shared" ref="E171:J171" si="41">SUM(E164:E170)</f>
        <v>139087.44</v>
      </c>
      <c r="F171" s="264">
        <f t="shared" si="41"/>
        <v>145500</v>
      </c>
      <c r="G171" s="157">
        <f t="shared" si="41"/>
        <v>155500</v>
      </c>
      <c r="H171" s="157">
        <f t="shared" si="41"/>
        <v>160500</v>
      </c>
      <c r="I171" s="157">
        <f t="shared" si="41"/>
        <v>160500</v>
      </c>
      <c r="J171" s="157">
        <f t="shared" si="41"/>
        <v>160500</v>
      </c>
    </row>
    <row r="172" spans="1:10" ht="15" customHeight="1" x14ac:dyDescent="0.2">
      <c r="A172" s="159" t="s">
        <v>299</v>
      </c>
      <c r="B172" s="159"/>
      <c r="C172" s="159"/>
      <c r="D172" s="159"/>
      <c r="E172" s="160">
        <f t="shared" ref="E172:J172" si="42">SUM(E162,E171)</f>
        <v>1331028.27</v>
      </c>
      <c r="F172" s="160">
        <f t="shared" si="42"/>
        <v>1475900</v>
      </c>
      <c r="G172" s="160">
        <f t="shared" si="42"/>
        <v>1485900</v>
      </c>
      <c r="H172" s="160">
        <f t="shared" si="42"/>
        <v>1627400</v>
      </c>
      <c r="I172" s="160">
        <f t="shared" si="42"/>
        <v>1662700</v>
      </c>
      <c r="J172" s="160">
        <f t="shared" si="42"/>
        <v>1698000</v>
      </c>
    </row>
    <row r="173" spans="1:10" ht="15" customHeight="1" x14ac:dyDescent="0.2">
      <c r="A173" s="129"/>
      <c r="B173" s="129"/>
      <c r="C173" s="129"/>
      <c r="D173" s="129"/>
      <c r="E173" s="129"/>
      <c r="F173" s="129"/>
      <c r="G173" s="129"/>
      <c r="H173" s="129"/>
      <c r="I173" s="129"/>
      <c r="J173" s="190"/>
    </row>
    <row r="174" spans="1:10" ht="18.75" customHeight="1" x14ac:dyDescent="0.2">
      <c r="A174" s="162" t="s">
        <v>15</v>
      </c>
      <c r="B174" s="162"/>
      <c r="C174" s="162"/>
      <c r="D174" s="162"/>
      <c r="E174" s="162"/>
      <c r="F174" s="162"/>
      <c r="G174" s="162"/>
      <c r="H174" s="162"/>
      <c r="I174" s="162"/>
      <c r="J174" s="162"/>
    </row>
    <row r="175" spans="1:10" ht="20.25" customHeight="1" x14ac:dyDescent="0.2">
      <c r="A175" s="131" t="s">
        <v>242</v>
      </c>
      <c r="B175" s="131"/>
      <c r="C175" s="131"/>
      <c r="D175" s="131"/>
      <c r="E175" s="128" t="str">
        <f t="shared" ref="E175:J175" si="43">E26</f>
        <v>Actuals           2014-2015</v>
      </c>
      <c r="F175" s="128" t="str">
        <f t="shared" si="43"/>
        <v>Approved Estimates          2015-2016</v>
      </c>
      <c r="G175" s="128" t="str">
        <f t="shared" si="43"/>
        <v>Revised Estimates                 2015-2016</v>
      </c>
      <c r="H175" s="128" t="str">
        <f t="shared" si="43"/>
        <v>Budget Estimates      2016-2017</v>
      </c>
      <c r="I175" s="128" t="str">
        <f t="shared" si="43"/>
        <v>Forward Estimates     2017-2018</v>
      </c>
      <c r="J175" s="128" t="str">
        <f t="shared" si="43"/>
        <v>Forward Estimates     2018-2019</v>
      </c>
    </row>
    <row r="176" spans="1:10" ht="15" customHeight="1" x14ac:dyDescent="0.2">
      <c r="A176" s="130" t="s">
        <v>243</v>
      </c>
      <c r="B176" s="130" t="s">
        <v>244</v>
      </c>
      <c r="C176" s="131" t="s">
        <v>245</v>
      </c>
      <c r="D176" s="131"/>
      <c r="E176" s="128"/>
      <c r="F176" s="128"/>
      <c r="G176" s="128"/>
      <c r="H176" s="128"/>
      <c r="I176" s="128"/>
      <c r="J176" s="128"/>
    </row>
    <row r="177" spans="1:10" ht="15" customHeight="1" x14ac:dyDescent="0.2">
      <c r="A177" s="163"/>
      <c r="B177" s="163"/>
      <c r="C177" s="156"/>
      <c r="D177" s="156"/>
      <c r="E177" s="158"/>
      <c r="F177" s="209"/>
      <c r="G177" s="158"/>
      <c r="H177" s="136"/>
      <c r="I177" s="158"/>
      <c r="J177" s="135"/>
    </row>
    <row r="178" spans="1:10" ht="15" customHeight="1" x14ac:dyDescent="0.2">
      <c r="A178" s="163"/>
      <c r="B178" s="163"/>
      <c r="C178" s="156"/>
      <c r="D178" s="156"/>
      <c r="E178" s="158"/>
      <c r="F178" s="209"/>
      <c r="G178" s="158"/>
      <c r="H178" s="136"/>
      <c r="I178" s="158"/>
      <c r="J178" s="135"/>
    </row>
    <row r="179" spans="1:10" ht="15" customHeight="1" x14ac:dyDescent="0.2">
      <c r="A179" s="137" t="s">
        <v>15</v>
      </c>
      <c r="B179" s="137"/>
      <c r="C179" s="137"/>
      <c r="D179" s="137"/>
      <c r="E179" s="138">
        <v>0</v>
      </c>
      <c r="F179" s="138">
        <v>0</v>
      </c>
      <c r="G179" s="138">
        <v>0</v>
      </c>
      <c r="H179" s="138">
        <v>0</v>
      </c>
      <c r="I179" s="138">
        <v>0</v>
      </c>
      <c r="J179" s="138">
        <v>0</v>
      </c>
    </row>
    <row r="180" spans="1:10" x14ac:dyDescent="0.2">
      <c r="A180" s="290"/>
      <c r="B180" s="290"/>
      <c r="C180" s="290"/>
      <c r="D180" s="290"/>
      <c r="E180" s="290"/>
      <c r="F180" s="290"/>
      <c r="G180" s="290"/>
      <c r="H180" s="290"/>
      <c r="I180" s="290"/>
      <c r="J180" s="290"/>
    </row>
    <row r="181" spans="1:10" ht="15" customHeight="1" x14ac:dyDescent="0.2">
      <c r="A181" s="161" t="s">
        <v>288</v>
      </c>
      <c r="B181" s="161"/>
      <c r="C181" s="161"/>
      <c r="D181" s="161"/>
      <c r="E181" s="161"/>
      <c r="F181" s="161"/>
      <c r="G181" s="161"/>
      <c r="H181" s="161"/>
      <c r="I181" s="161"/>
      <c r="J181" s="161"/>
    </row>
    <row r="182" spans="1:10" x14ac:dyDescent="0.2">
      <c r="A182" s="131" t="s">
        <v>300</v>
      </c>
      <c r="B182" s="131"/>
      <c r="C182" s="131"/>
      <c r="D182" s="132" t="s">
        <v>301</v>
      </c>
      <c r="E182" s="132" t="s">
        <v>302</v>
      </c>
      <c r="F182" s="131" t="s">
        <v>300</v>
      </c>
      <c r="G182" s="131"/>
      <c r="H182" s="131"/>
      <c r="I182" s="132" t="s">
        <v>301</v>
      </c>
      <c r="J182" s="132" t="s">
        <v>302</v>
      </c>
    </row>
    <row r="183" spans="1:10" x14ac:dyDescent="0.2">
      <c r="A183" s="134" t="str">
        <f>Establishment!D518</f>
        <v>Head Teacher</v>
      </c>
      <c r="B183" s="134"/>
      <c r="C183" s="134"/>
      <c r="D183" s="133" t="str">
        <f>Establishment!E518</f>
        <v>R22-14</v>
      </c>
      <c r="E183" s="133">
        <f>Establishment!C518</f>
        <v>2</v>
      </c>
      <c r="F183" s="134" t="str">
        <f>Establishment!D524</f>
        <v>Music Teacher</v>
      </c>
      <c r="G183" s="134"/>
      <c r="H183" s="134"/>
      <c r="I183" s="486" t="str">
        <f>Establishment!E524</f>
        <v>R28-22</v>
      </c>
      <c r="J183" s="133">
        <f>Establishment!C524</f>
        <v>1</v>
      </c>
    </row>
    <row r="184" spans="1:10" ht="14.25" customHeight="1" x14ac:dyDescent="0.2">
      <c r="A184" s="134" t="str">
        <f>Establishment!D519</f>
        <v>Teacher (Graduate)</v>
      </c>
      <c r="B184" s="134"/>
      <c r="C184" s="134"/>
      <c r="D184" s="133" t="str">
        <f>Establishment!E519</f>
        <v>R22-16/14</v>
      </c>
      <c r="E184" s="133">
        <f>Establishment!C519</f>
        <v>8</v>
      </c>
      <c r="F184" s="134" t="str">
        <f>Establishment!D525</f>
        <v>Personal Assistant/Janitors</v>
      </c>
      <c r="G184" s="134"/>
      <c r="H184" s="134"/>
      <c r="I184" s="486" t="str">
        <f>Establishment!E525</f>
        <v>R38-31</v>
      </c>
      <c r="J184" s="133">
        <f>Establishment!C525</f>
        <v>0</v>
      </c>
    </row>
    <row r="185" spans="1:10" ht="14.25" customHeight="1" x14ac:dyDescent="0.2">
      <c r="A185" s="134" t="str">
        <f>Establishment!D520</f>
        <v>Teacher (Trained)</v>
      </c>
      <c r="B185" s="134"/>
      <c r="C185" s="134"/>
      <c r="D185" s="133" t="str">
        <f>Establishment!E520</f>
        <v>R33-21</v>
      </c>
      <c r="E185" s="133">
        <f>Establishment!C520</f>
        <v>8</v>
      </c>
      <c r="F185" s="134" t="str">
        <f>Establishment!D526</f>
        <v>Groundsman</v>
      </c>
      <c r="G185" s="134"/>
      <c r="H185" s="134"/>
      <c r="I185" s="486" t="str">
        <f>Establishment!E526</f>
        <v>R51-45</v>
      </c>
      <c r="J185" s="133">
        <f>Establishment!C526</f>
        <v>1</v>
      </c>
    </row>
    <row r="186" spans="1:10" ht="14.25" customHeight="1" x14ac:dyDescent="0.2">
      <c r="A186" s="134" t="str">
        <f>Establishment!D521</f>
        <v>Teacher (Untrained)</v>
      </c>
      <c r="B186" s="134"/>
      <c r="C186" s="134"/>
      <c r="D186" s="133" t="str">
        <f>Establishment!E521</f>
        <v>R38-36/34</v>
      </c>
      <c r="E186" s="133">
        <f>Establishment!C521</f>
        <v>8</v>
      </c>
      <c r="F186" s="134" t="str">
        <f>Establishment!D527</f>
        <v>Clerical Officer</v>
      </c>
      <c r="G186" s="134"/>
      <c r="H186" s="134"/>
      <c r="I186" s="486" t="str">
        <f>Establishment!E527</f>
        <v>R46-34</v>
      </c>
      <c r="J186" s="133">
        <f>Establishment!C527</f>
        <v>2</v>
      </c>
    </row>
    <row r="187" spans="1:10" ht="15" customHeight="1" x14ac:dyDescent="0.2">
      <c r="A187" s="134" t="str">
        <f>Establishment!D522</f>
        <v>Guidance Counsellor</v>
      </c>
      <c r="B187" s="134"/>
      <c r="C187" s="134"/>
      <c r="D187" s="133" t="str">
        <f>Establishment!E522</f>
        <v>R22-16</v>
      </c>
      <c r="E187" s="133">
        <f>Establishment!C522</f>
        <v>1</v>
      </c>
      <c r="F187" s="134" t="str">
        <f>Establishment!D531</f>
        <v>Cleaner/Helper</v>
      </c>
      <c r="G187" s="134"/>
      <c r="H187" s="134"/>
      <c r="I187" s="486">
        <f>Establishment!E528</f>
        <v>0</v>
      </c>
      <c r="J187" s="133">
        <f>Establishment!C531</f>
        <v>2</v>
      </c>
    </row>
    <row r="188" spans="1:10" ht="15" customHeight="1" x14ac:dyDescent="0.2">
      <c r="A188" s="134" t="str">
        <f>Establishment!D523</f>
        <v>Dance Teacher</v>
      </c>
      <c r="B188" s="134"/>
      <c r="C188" s="134"/>
      <c r="D188" s="133" t="str">
        <f>Establishment!E523</f>
        <v>R28-22/22-16</v>
      </c>
      <c r="E188" s="133">
        <f>Establishment!C523</f>
        <v>1</v>
      </c>
      <c r="F188" s="134"/>
      <c r="G188" s="134"/>
      <c r="H188" s="134"/>
      <c r="I188" s="486"/>
      <c r="J188" s="133"/>
    </row>
    <row r="189" spans="1:10" x14ac:dyDescent="0.2">
      <c r="A189" s="203" t="s">
        <v>303</v>
      </c>
      <c r="B189" s="203"/>
      <c r="C189" s="203"/>
      <c r="D189" s="203"/>
      <c r="E189" s="203"/>
      <c r="F189" s="203"/>
      <c r="G189" s="203"/>
      <c r="H189" s="203"/>
      <c r="I189" s="203"/>
      <c r="J189" s="204">
        <f>SUM(E183:E187,J183:J187)</f>
        <v>33</v>
      </c>
    </row>
    <row r="190" spans="1:10" ht="15" customHeight="1" x14ac:dyDescent="0.2">
      <c r="A190" s="129"/>
      <c r="B190" s="129"/>
      <c r="C190" s="129"/>
      <c r="D190" s="129"/>
      <c r="E190" s="129"/>
      <c r="F190" s="129"/>
      <c r="G190" s="129"/>
      <c r="H190" s="129"/>
      <c r="I190" s="129"/>
      <c r="J190" s="129"/>
    </row>
    <row r="191" spans="1:10" ht="15" customHeight="1" x14ac:dyDescent="0.2">
      <c r="A191" s="180" t="s">
        <v>304</v>
      </c>
      <c r="B191" s="180"/>
      <c r="C191" s="180"/>
      <c r="D191" s="180"/>
      <c r="E191" s="180"/>
      <c r="F191" s="180"/>
      <c r="G191" s="180"/>
      <c r="H191" s="180"/>
      <c r="I191" s="180"/>
      <c r="J191" s="180"/>
    </row>
    <row r="192" spans="1:10" x14ac:dyDescent="0.2">
      <c r="A192" s="181" t="s">
        <v>305</v>
      </c>
      <c r="B192" s="181"/>
      <c r="C192" s="181"/>
      <c r="D192" s="181"/>
      <c r="E192" s="181"/>
      <c r="F192" s="181"/>
      <c r="G192" s="181"/>
      <c r="H192" s="181"/>
      <c r="I192" s="181"/>
      <c r="J192" s="181"/>
    </row>
    <row r="193" spans="1:10" ht="23.25" customHeight="1" x14ac:dyDescent="0.2">
      <c r="A193" s="129" t="s">
        <v>1655</v>
      </c>
      <c r="B193" s="129"/>
      <c r="C193" s="129"/>
      <c r="D193" s="129"/>
      <c r="E193" s="129"/>
      <c r="F193" s="129"/>
      <c r="G193" s="129"/>
      <c r="H193" s="129"/>
      <c r="I193" s="129"/>
      <c r="J193" s="129"/>
    </row>
    <row r="194" spans="1:10" ht="23.25" customHeight="1" x14ac:dyDescent="0.2">
      <c r="A194" s="129" t="s">
        <v>1656</v>
      </c>
      <c r="B194" s="129"/>
      <c r="C194" s="129"/>
      <c r="D194" s="129"/>
      <c r="E194" s="129"/>
      <c r="F194" s="129"/>
      <c r="G194" s="129"/>
      <c r="H194" s="129"/>
      <c r="I194" s="129"/>
      <c r="J194" s="129"/>
    </row>
    <row r="195" spans="1:10" ht="23.25" customHeight="1" x14ac:dyDescent="0.2">
      <c r="A195" s="129" t="s">
        <v>1657</v>
      </c>
      <c r="B195" s="129"/>
      <c r="C195" s="129"/>
      <c r="D195" s="129"/>
      <c r="E195" s="129"/>
      <c r="F195" s="129"/>
      <c r="G195" s="129"/>
      <c r="H195" s="129"/>
      <c r="I195" s="129"/>
      <c r="J195" s="129"/>
    </row>
    <row r="196" spans="1:10" ht="15" customHeight="1" x14ac:dyDescent="0.2">
      <c r="A196" s="129"/>
      <c r="B196" s="129"/>
      <c r="C196" s="129"/>
      <c r="D196" s="129"/>
      <c r="E196" s="129"/>
      <c r="F196" s="129"/>
      <c r="G196" s="129"/>
      <c r="H196" s="129"/>
      <c r="I196" s="129"/>
      <c r="J196" s="129"/>
    </row>
    <row r="197" spans="1:10" x14ac:dyDescent="0.2">
      <c r="A197" s="183" t="s">
        <v>415</v>
      </c>
      <c r="B197" s="183"/>
      <c r="C197" s="183"/>
      <c r="D197" s="183"/>
      <c r="E197" s="183"/>
      <c r="F197" s="183"/>
      <c r="G197" s="183"/>
      <c r="H197" s="183"/>
      <c r="I197" s="183"/>
      <c r="J197" s="183"/>
    </row>
    <row r="198" spans="1:10" x14ac:dyDescent="0.2">
      <c r="A198" s="129"/>
      <c r="B198" s="129"/>
      <c r="C198" s="129"/>
      <c r="D198" s="129"/>
      <c r="E198" s="129"/>
      <c r="F198" s="129"/>
      <c r="G198" s="129"/>
      <c r="H198" s="129"/>
      <c r="I198" s="129"/>
      <c r="J198" s="129"/>
    </row>
    <row r="199" spans="1:10" x14ac:dyDescent="0.2">
      <c r="A199" s="129"/>
      <c r="B199" s="129"/>
      <c r="C199" s="129"/>
      <c r="D199" s="129"/>
      <c r="E199" s="129"/>
      <c r="F199" s="129"/>
      <c r="G199" s="129"/>
      <c r="H199" s="129"/>
      <c r="I199" s="129"/>
      <c r="J199" s="129"/>
    </row>
    <row r="200" spans="1:10" ht="22.5" x14ac:dyDescent="0.2">
      <c r="A200" s="180" t="s">
        <v>315</v>
      </c>
      <c r="B200" s="180"/>
      <c r="C200" s="180"/>
      <c r="D200" s="180"/>
      <c r="E200" s="180"/>
      <c r="F200" s="184" t="str">
        <f>F136</f>
        <v xml:space="preserve"> Actual 2014-2015</v>
      </c>
      <c r="G200" s="184" t="str">
        <f>G136</f>
        <v xml:space="preserve"> Estimate 2015-2016</v>
      </c>
      <c r="H200" s="184" t="str">
        <f>H136</f>
        <v xml:space="preserve"> Target 2016-2017</v>
      </c>
      <c r="I200" s="184" t="str">
        <f>I136</f>
        <v xml:space="preserve"> Target 2017-2018</v>
      </c>
      <c r="J200" s="184" t="str">
        <f>J136</f>
        <v xml:space="preserve"> Target 2018-2019</v>
      </c>
    </row>
    <row r="201" spans="1:10" s="367" customFormat="1" x14ac:dyDescent="0.2">
      <c r="A201" s="180" t="s">
        <v>316</v>
      </c>
      <c r="B201" s="180"/>
      <c r="C201" s="180"/>
      <c r="D201" s="180"/>
      <c r="E201" s="180"/>
      <c r="F201" s="180"/>
      <c r="G201" s="180"/>
      <c r="H201" s="180"/>
      <c r="I201" s="180"/>
      <c r="J201" s="180"/>
    </row>
    <row r="202" spans="1:10" x14ac:dyDescent="0.2">
      <c r="A202" s="296" t="s">
        <v>1658</v>
      </c>
      <c r="B202" s="296"/>
      <c r="C202" s="296"/>
      <c r="D202" s="296"/>
      <c r="E202" s="296"/>
      <c r="F202" s="272">
        <v>292</v>
      </c>
      <c r="G202" s="191">
        <v>270</v>
      </c>
      <c r="H202" s="191">
        <v>287</v>
      </c>
      <c r="I202" s="191">
        <v>289</v>
      </c>
      <c r="J202" s="191">
        <v>295</v>
      </c>
    </row>
    <row r="203" spans="1:10" x14ac:dyDescent="0.2">
      <c r="A203" s="296" t="s">
        <v>1659</v>
      </c>
      <c r="B203" s="296"/>
      <c r="C203" s="296"/>
      <c r="D203" s="296"/>
      <c r="E203" s="296"/>
      <c r="F203" s="272" t="s">
        <v>1660</v>
      </c>
      <c r="G203" s="191" t="s">
        <v>1661</v>
      </c>
      <c r="H203" s="191" t="s">
        <v>1662</v>
      </c>
      <c r="I203" s="191" t="s">
        <v>1663</v>
      </c>
      <c r="J203" s="191" t="s">
        <v>1664</v>
      </c>
    </row>
    <row r="204" spans="1:10" x14ac:dyDescent="0.2">
      <c r="A204" s="188"/>
      <c r="B204" s="188"/>
      <c r="C204" s="188"/>
      <c r="D204" s="188"/>
      <c r="E204" s="188"/>
      <c r="F204" s="273"/>
      <c r="G204" s="190"/>
      <c r="H204" s="190"/>
      <c r="I204" s="190"/>
      <c r="J204" s="190"/>
    </row>
    <row r="205" spans="1:10" x14ac:dyDescent="0.2">
      <c r="A205" s="180" t="s">
        <v>324</v>
      </c>
      <c r="B205" s="180"/>
      <c r="C205" s="180"/>
      <c r="D205" s="180"/>
      <c r="E205" s="180"/>
      <c r="F205" s="180"/>
      <c r="G205" s="180"/>
      <c r="H205" s="180"/>
      <c r="I205" s="180"/>
      <c r="J205" s="180"/>
    </row>
    <row r="206" spans="1:10" ht="45" x14ac:dyDescent="0.2">
      <c r="A206" s="269" t="s">
        <v>1665</v>
      </c>
      <c r="B206" s="269"/>
      <c r="C206" s="269"/>
      <c r="D206" s="269"/>
      <c r="E206" s="269"/>
      <c r="F206" s="286" t="s">
        <v>1666</v>
      </c>
      <c r="G206" s="261" t="s">
        <v>1667</v>
      </c>
      <c r="H206" s="261" t="s">
        <v>1668</v>
      </c>
      <c r="I206" s="261" t="s">
        <v>1669</v>
      </c>
      <c r="J206" s="261" t="s">
        <v>1670</v>
      </c>
    </row>
    <row r="207" spans="1:10" ht="15" customHeight="1" x14ac:dyDescent="0.2">
      <c r="A207" s="306"/>
      <c r="B207" s="306"/>
      <c r="C207" s="306"/>
      <c r="D207" s="306"/>
      <c r="E207" s="306"/>
      <c r="F207" s="273"/>
      <c r="G207" s="190"/>
      <c r="H207" s="190"/>
      <c r="I207" s="190"/>
      <c r="J207" s="190"/>
    </row>
    <row r="208" spans="1:10" ht="15" customHeight="1" x14ac:dyDescent="0.2">
      <c r="A208" s="129"/>
      <c r="B208" s="129"/>
      <c r="C208" s="129"/>
      <c r="D208" s="129"/>
      <c r="E208" s="129"/>
      <c r="F208" s="129"/>
      <c r="G208" s="129"/>
      <c r="H208" s="129"/>
      <c r="I208" s="129"/>
      <c r="J208" s="129"/>
    </row>
    <row r="209" spans="1:10" x14ac:dyDescent="0.2">
      <c r="A209" s="150" t="s">
        <v>1671</v>
      </c>
      <c r="B209" s="150"/>
      <c r="C209" s="150"/>
      <c r="D209" s="150"/>
      <c r="E209" s="150"/>
      <c r="F209" s="150"/>
      <c r="G209" s="150"/>
      <c r="H209" s="150"/>
      <c r="I209" s="150"/>
      <c r="J209" s="150"/>
    </row>
    <row r="210" spans="1:10" ht="15" customHeight="1" x14ac:dyDescent="0.2">
      <c r="A210" s="389" t="s">
        <v>291</v>
      </c>
      <c r="B210" s="389"/>
      <c r="C210" s="389"/>
      <c r="D210" s="389"/>
      <c r="E210" s="389"/>
      <c r="F210" s="389"/>
      <c r="G210" s="389"/>
      <c r="H210" s="389"/>
      <c r="I210" s="389"/>
      <c r="J210" s="389"/>
    </row>
    <row r="211" spans="1:10" hidden="1" x14ac:dyDescent="0.2">
      <c r="A211" s="129" t="s">
        <v>1672</v>
      </c>
      <c r="B211" s="129"/>
      <c r="C211" s="129"/>
      <c r="D211" s="129"/>
      <c r="E211" s="129"/>
      <c r="F211" s="129"/>
      <c r="G211" s="129"/>
      <c r="H211" s="129"/>
      <c r="I211" s="129"/>
      <c r="J211" s="129"/>
    </row>
    <row r="212" spans="1:10" ht="33.75" hidden="1" customHeight="1" x14ac:dyDescent="0.2">
      <c r="A212" s="128" t="s">
        <v>293</v>
      </c>
      <c r="B212" s="128"/>
      <c r="C212" s="128"/>
      <c r="D212" s="128"/>
      <c r="E212" s="128"/>
      <c r="F212" s="128"/>
      <c r="G212" s="128"/>
      <c r="H212" s="128"/>
      <c r="I212" s="128"/>
      <c r="J212" s="128"/>
    </row>
    <row r="213" spans="1:10" ht="15" hidden="1" customHeight="1" x14ac:dyDescent="0.2">
      <c r="A213" s="152" t="s">
        <v>243</v>
      </c>
      <c r="B213" s="151" t="s">
        <v>242</v>
      </c>
      <c r="C213" s="151"/>
      <c r="D213" s="151"/>
      <c r="E213" s="132" t="s">
        <v>793</v>
      </c>
      <c r="F213" s="132" t="s">
        <v>794</v>
      </c>
      <c r="G213" s="132" t="s">
        <v>795</v>
      </c>
      <c r="H213" s="132" t="s">
        <v>796</v>
      </c>
      <c r="I213" s="132" t="s">
        <v>797</v>
      </c>
      <c r="J213" s="132" t="s">
        <v>798</v>
      </c>
    </row>
    <row r="214" spans="1:10" ht="25.5" customHeight="1" x14ac:dyDescent="0.2">
      <c r="A214" s="129" t="s">
        <v>1673</v>
      </c>
      <c r="B214" s="129"/>
      <c r="C214" s="129"/>
      <c r="D214" s="129"/>
      <c r="E214" s="129"/>
      <c r="F214" s="129"/>
      <c r="G214" s="129"/>
      <c r="H214" s="129"/>
      <c r="I214" s="129"/>
      <c r="J214" s="129"/>
    </row>
    <row r="215" spans="1:10" x14ac:dyDescent="0.2">
      <c r="A215" s="137" t="s">
        <v>1605</v>
      </c>
      <c r="B215" s="137"/>
      <c r="C215" s="137"/>
      <c r="D215" s="137"/>
      <c r="E215" s="138">
        <f t="shared" ref="E215:J215" si="44">SUM(E214:E214)</f>
        <v>0</v>
      </c>
      <c r="F215" s="138">
        <f t="shared" si="44"/>
        <v>0</v>
      </c>
      <c r="G215" s="138">
        <f t="shared" si="44"/>
        <v>0</v>
      </c>
      <c r="H215" s="138">
        <f t="shared" si="44"/>
        <v>0</v>
      </c>
      <c r="I215" s="138">
        <f t="shared" si="44"/>
        <v>0</v>
      </c>
      <c r="J215" s="138">
        <f t="shared" si="44"/>
        <v>0</v>
      </c>
    </row>
    <row r="216" spans="1:10" x14ac:dyDescent="0.2">
      <c r="A216" s="129"/>
      <c r="B216" s="129"/>
      <c r="C216" s="129"/>
      <c r="D216" s="129"/>
      <c r="E216" s="129"/>
      <c r="F216" s="129"/>
      <c r="G216" s="129"/>
      <c r="H216" s="129"/>
      <c r="I216" s="129"/>
      <c r="J216" s="129"/>
    </row>
    <row r="217" spans="1:10" x14ac:dyDescent="0.2">
      <c r="A217" s="128" t="s">
        <v>284</v>
      </c>
      <c r="B217" s="128"/>
      <c r="C217" s="128"/>
      <c r="D217" s="128"/>
      <c r="E217" s="128"/>
      <c r="F217" s="128"/>
      <c r="G217" s="128"/>
      <c r="H217" s="128"/>
      <c r="I217" s="128"/>
      <c r="J217" s="128"/>
    </row>
    <row r="218" spans="1:10" ht="33.75" x14ac:dyDescent="0.2">
      <c r="A218" s="152" t="s">
        <v>243</v>
      </c>
      <c r="B218" s="151" t="s">
        <v>242</v>
      </c>
      <c r="C218" s="151"/>
      <c r="D218" s="151"/>
      <c r="E218" s="132" t="str">
        <f t="shared" ref="E218:J218" si="45">E26</f>
        <v>Actuals           2014-2015</v>
      </c>
      <c r="F218" s="132" t="str">
        <f t="shared" si="45"/>
        <v>Approved Estimates          2015-2016</v>
      </c>
      <c r="G218" s="132" t="str">
        <f t="shared" si="45"/>
        <v>Revised Estimates                 2015-2016</v>
      </c>
      <c r="H218" s="132" t="str">
        <f t="shared" si="45"/>
        <v>Budget Estimates      2016-2017</v>
      </c>
      <c r="I218" s="132" t="str">
        <f t="shared" si="45"/>
        <v>Forward Estimates     2017-2018</v>
      </c>
      <c r="J218" s="132" t="str">
        <f t="shared" si="45"/>
        <v>Forward Estimates     2018-2019</v>
      </c>
    </row>
    <row r="219" spans="1:10" ht="12" customHeight="1" x14ac:dyDescent="0.2">
      <c r="A219" s="151" t="s">
        <v>7</v>
      </c>
      <c r="B219" s="151"/>
      <c r="C219" s="151"/>
      <c r="D219" s="151"/>
      <c r="E219" s="151"/>
      <c r="F219" s="151"/>
      <c r="G219" s="151"/>
      <c r="H219" s="151"/>
      <c r="I219" s="151"/>
      <c r="J219" s="190"/>
    </row>
    <row r="220" spans="1:10" x14ac:dyDescent="0.2">
      <c r="A220" s="207">
        <v>210</v>
      </c>
      <c r="B220" s="129" t="s">
        <v>7</v>
      </c>
      <c r="C220" s="129"/>
      <c r="D220" s="129"/>
      <c r="E220" s="211">
        <v>2047862.61</v>
      </c>
      <c r="F220" s="209">
        <v>2190000</v>
      </c>
      <c r="G220" s="211">
        <v>2124700</v>
      </c>
      <c r="H220" s="210">
        <v>2370700</v>
      </c>
      <c r="I220" s="211">
        <v>2476000</v>
      </c>
      <c r="J220" s="211">
        <v>2500800</v>
      </c>
    </row>
    <row r="221" spans="1:10" x14ac:dyDescent="0.2">
      <c r="A221" s="207">
        <v>212</v>
      </c>
      <c r="B221" s="129" t="s">
        <v>9</v>
      </c>
      <c r="C221" s="129"/>
      <c r="D221" s="129"/>
      <c r="E221" s="211">
        <v>151617.93</v>
      </c>
      <c r="F221" s="209">
        <v>115100</v>
      </c>
      <c r="G221" s="211">
        <v>115100</v>
      </c>
      <c r="H221" s="210">
        <v>166800</v>
      </c>
      <c r="I221" s="211">
        <v>168300</v>
      </c>
      <c r="J221" s="211">
        <v>169800</v>
      </c>
    </row>
    <row r="222" spans="1:10" x14ac:dyDescent="0.2">
      <c r="A222" s="207">
        <v>216</v>
      </c>
      <c r="B222" s="129" t="s">
        <v>10</v>
      </c>
      <c r="C222" s="129"/>
      <c r="D222" s="129"/>
      <c r="E222" s="211">
        <v>24060</v>
      </c>
      <c r="F222" s="209">
        <v>34800</v>
      </c>
      <c r="G222" s="211">
        <v>34800</v>
      </c>
      <c r="H222" s="210">
        <v>34800</v>
      </c>
      <c r="I222" s="211">
        <v>34800</v>
      </c>
      <c r="J222" s="211">
        <v>34800</v>
      </c>
    </row>
    <row r="223" spans="1:10" x14ac:dyDescent="0.2">
      <c r="A223" s="207">
        <v>218</v>
      </c>
      <c r="B223" s="129" t="s">
        <v>294</v>
      </c>
      <c r="C223" s="129"/>
      <c r="D223" s="129"/>
      <c r="E223" s="211">
        <v>69713.13</v>
      </c>
      <c r="F223" s="209">
        <v>63400</v>
      </c>
      <c r="G223" s="211">
        <v>0</v>
      </c>
      <c r="H223" s="210">
        <v>44800</v>
      </c>
      <c r="I223" s="211">
        <v>69800</v>
      </c>
      <c r="J223" s="211">
        <v>44800</v>
      </c>
    </row>
    <row r="224" spans="1:10" ht="15" customHeight="1" x14ac:dyDescent="0.2">
      <c r="A224" s="156" t="s">
        <v>295</v>
      </c>
      <c r="B224" s="156"/>
      <c r="C224" s="156"/>
      <c r="D224" s="156"/>
      <c r="E224" s="157">
        <f t="shared" ref="E224:J224" si="46">SUM(E220:E223)</f>
        <v>2293253.67</v>
      </c>
      <c r="F224" s="157">
        <f t="shared" si="46"/>
        <v>2403300</v>
      </c>
      <c r="G224" s="157">
        <f t="shared" si="46"/>
        <v>2274600</v>
      </c>
      <c r="H224" s="157">
        <f t="shared" si="46"/>
        <v>2617100</v>
      </c>
      <c r="I224" s="157">
        <f t="shared" si="46"/>
        <v>2748900</v>
      </c>
      <c r="J224" s="157">
        <f t="shared" si="46"/>
        <v>2750200</v>
      </c>
    </row>
    <row r="225" spans="1:10" ht="11.25" customHeight="1" x14ac:dyDescent="0.2">
      <c r="A225" s="156" t="s">
        <v>296</v>
      </c>
      <c r="B225" s="196"/>
      <c r="C225" s="196"/>
      <c r="D225" s="196"/>
      <c r="E225" s="156"/>
      <c r="F225" s="156"/>
      <c r="G225" s="156"/>
      <c r="H225" s="156"/>
      <c r="I225" s="156"/>
      <c r="J225" s="190"/>
    </row>
    <row r="226" spans="1:10" ht="14.25" customHeight="1" x14ac:dyDescent="0.2">
      <c r="A226" s="416">
        <v>224</v>
      </c>
      <c r="B226" s="381" t="s">
        <v>206</v>
      </c>
      <c r="C226" s="462"/>
      <c r="D226" s="195"/>
      <c r="E226" s="417">
        <v>66879.960000000006</v>
      </c>
      <c r="F226" s="211">
        <v>80000</v>
      </c>
      <c r="G226" s="211">
        <v>80000</v>
      </c>
      <c r="H226" s="210">
        <v>70000</v>
      </c>
      <c r="I226" s="211">
        <v>70000</v>
      </c>
      <c r="J226" s="211">
        <v>70000</v>
      </c>
    </row>
    <row r="227" spans="1:10" ht="14.25" customHeight="1" x14ac:dyDescent="0.2">
      <c r="A227" s="207">
        <v>226</v>
      </c>
      <c r="B227" s="381" t="s">
        <v>207</v>
      </c>
      <c r="C227" s="462"/>
      <c r="D227" s="195"/>
      <c r="E227" s="211">
        <v>10846.18</v>
      </c>
      <c r="F227" s="211">
        <v>20000</v>
      </c>
      <c r="G227" s="211">
        <v>25000</v>
      </c>
      <c r="H227" s="210">
        <v>20000</v>
      </c>
      <c r="I227" s="211">
        <v>20000</v>
      </c>
      <c r="J227" s="211">
        <v>20000</v>
      </c>
    </row>
    <row r="228" spans="1:10" ht="14.25" customHeight="1" x14ac:dyDescent="0.2">
      <c r="A228" s="207">
        <v>228</v>
      </c>
      <c r="B228" s="381" t="s">
        <v>208</v>
      </c>
      <c r="C228" s="462"/>
      <c r="D228" s="195"/>
      <c r="E228" s="211">
        <v>65690.97</v>
      </c>
      <c r="F228" s="211">
        <v>70000</v>
      </c>
      <c r="G228" s="211">
        <v>70000</v>
      </c>
      <c r="H228" s="210">
        <f>70000+5000</f>
        <v>75000</v>
      </c>
      <c r="I228" s="211">
        <f t="shared" ref="I228:J228" si="47">70000+5000</f>
        <v>75000</v>
      </c>
      <c r="J228" s="211">
        <f t="shared" si="47"/>
        <v>75000</v>
      </c>
    </row>
    <row r="229" spans="1:10" ht="14.25" customHeight="1" x14ac:dyDescent="0.2">
      <c r="A229" s="207">
        <v>229</v>
      </c>
      <c r="B229" s="381" t="s">
        <v>209</v>
      </c>
      <c r="C229" s="462"/>
      <c r="D229" s="195"/>
      <c r="E229" s="211">
        <v>52279.85</v>
      </c>
      <c r="F229" s="211">
        <v>55000</v>
      </c>
      <c r="G229" s="211">
        <v>55000</v>
      </c>
      <c r="H229" s="210">
        <f>55000+20000</f>
        <v>75000</v>
      </c>
      <c r="I229" s="211">
        <f t="shared" ref="I229:J229" si="48">55000+20000</f>
        <v>75000</v>
      </c>
      <c r="J229" s="211">
        <f t="shared" si="48"/>
        <v>75000</v>
      </c>
    </row>
    <row r="230" spans="1:10" ht="14.25" customHeight="1" x14ac:dyDescent="0.2">
      <c r="A230" s="207">
        <v>232</v>
      </c>
      <c r="B230" s="381" t="s">
        <v>211</v>
      </c>
      <c r="C230" s="462"/>
      <c r="D230" s="195"/>
      <c r="E230" s="211">
        <v>49936.98</v>
      </c>
      <c r="F230" s="211">
        <v>110000</v>
      </c>
      <c r="G230" s="211">
        <v>110000</v>
      </c>
      <c r="H230" s="210">
        <v>110000</v>
      </c>
      <c r="I230" s="211">
        <v>110000</v>
      </c>
      <c r="J230" s="211">
        <v>110000</v>
      </c>
    </row>
    <row r="231" spans="1:10" ht="14.25" customHeight="1" x14ac:dyDescent="0.2">
      <c r="A231" s="207">
        <v>234</v>
      </c>
      <c r="B231" s="381" t="s">
        <v>546</v>
      </c>
      <c r="C231" s="462"/>
      <c r="D231" s="195"/>
      <c r="E231" s="211">
        <v>61063</v>
      </c>
      <c r="F231" s="211">
        <v>68000</v>
      </c>
      <c r="G231" s="211">
        <v>74000</v>
      </c>
      <c r="H231" s="210">
        <v>68000</v>
      </c>
      <c r="I231" s="211">
        <v>68000</v>
      </c>
      <c r="J231" s="211">
        <v>68000</v>
      </c>
    </row>
    <row r="232" spans="1:10" ht="14.25" customHeight="1" x14ac:dyDescent="0.2">
      <c r="A232" s="207">
        <v>236</v>
      </c>
      <c r="B232" s="381" t="s">
        <v>213</v>
      </c>
      <c r="C232" s="462"/>
      <c r="D232" s="195"/>
      <c r="E232" s="211">
        <v>10125.81</v>
      </c>
      <c r="F232" s="211">
        <v>1500</v>
      </c>
      <c r="G232" s="211">
        <v>1500</v>
      </c>
      <c r="H232" s="210">
        <v>1500</v>
      </c>
      <c r="I232" s="211">
        <v>1500</v>
      </c>
      <c r="J232" s="211">
        <v>1500</v>
      </c>
    </row>
    <row r="233" spans="1:10" ht="14.25" customHeight="1" x14ac:dyDescent="0.2">
      <c r="A233" s="207">
        <v>260</v>
      </c>
      <c r="B233" s="381" t="s">
        <v>1674</v>
      </c>
      <c r="C233" s="462"/>
      <c r="D233" s="195"/>
      <c r="E233" s="211">
        <v>25000</v>
      </c>
      <c r="F233" s="211">
        <v>70000</v>
      </c>
      <c r="G233" s="211">
        <v>45000</v>
      </c>
      <c r="H233" s="210">
        <v>70000</v>
      </c>
      <c r="I233" s="211">
        <v>70000</v>
      </c>
      <c r="J233" s="211">
        <v>70000</v>
      </c>
    </row>
    <row r="234" spans="1:10" ht="14.25" customHeight="1" x14ac:dyDescent="0.2">
      <c r="A234" s="207">
        <v>275</v>
      </c>
      <c r="B234" s="381" t="s">
        <v>228</v>
      </c>
      <c r="C234" s="462"/>
      <c r="D234" s="195"/>
      <c r="E234" s="211">
        <v>59096.77</v>
      </c>
      <c r="F234" s="211">
        <v>60000</v>
      </c>
      <c r="G234" s="211">
        <v>60000</v>
      </c>
      <c r="H234" s="210">
        <v>60000</v>
      </c>
      <c r="I234" s="211">
        <v>60000</v>
      </c>
      <c r="J234" s="211">
        <v>60000</v>
      </c>
    </row>
    <row r="235" spans="1:10" ht="15" customHeight="1" x14ac:dyDescent="0.2">
      <c r="A235" s="156" t="s">
        <v>298</v>
      </c>
      <c r="B235" s="156"/>
      <c r="C235" s="156"/>
      <c r="D235" s="156"/>
      <c r="E235" s="157">
        <f t="shared" ref="E235:J235" si="49">SUM(E226:E234)</f>
        <v>400919.52000000008</v>
      </c>
      <c r="F235" s="264">
        <f t="shared" si="49"/>
        <v>534500</v>
      </c>
      <c r="G235" s="157">
        <f t="shared" si="49"/>
        <v>520500</v>
      </c>
      <c r="H235" s="157">
        <f t="shared" si="49"/>
        <v>549500</v>
      </c>
      <c r="I235" s="157">
        <f t="shared" si="49"/>
        <v>549500</v>
      </c>
      <c r="J235" s="157">
        <f t="shared" si="49"/>
        <v>549500</v>
      </c>
    </row>
    <row r="236" spans="1:10" ht="12" customHeight="1" x14ac:dyDescent="0.2">
      <c r="A236" s="159" t="s">
        <v>299</v>
      </c>
      <c r="B236" s="159"/>
      <c r="C236" s="159"/>
      <c r="D236" s="159"/>
      <c r="E236" s="160">
        <f t="shared" ref="E236:J236" si="50">SUM(E224,E235)</f>
        <v>2694173.19</v>
      </c>
      <c r="F236" s="160">
        <f t="shared" si="50"/>
        <v>2937800</v>
      </c>
      <c r="G236" s="160">
        <f t="shared" si="50"/>
        <v>2795100</v>
      </c>
      <c r="H236" s="160">
        <f t="shared" si="50"/>
        <v>3166600</v>
      </c>
      <c r="I236" s="160">
        <f t="shared" si="50"/>
        <v>3298400</v>
      </c>
      <c r="J236" s="160">
        <f t="shared" si="50"/>
        <v>3299700</v>
      </c>
    </row>
    <row r="237" spans="1:10" ht="8.25" customHeight="1" x14ac:dyDescent="0.2">
      <c r="A237" s="129"/>
      <c r="B237" s="129"/>
      <c r="C237" s="129"/>
      <c r="D237" s="129"/>
      <c r="E237" s="129"/>
      <c r="F237" s="129"/>
      <c r="G237" s="129"/>
      <c r="H237" s="129"/>
      <c r="I237" s="129"/>
      <c r="J237" s="190"/>
    </row>
    <row r="238" spans="1:10" x14ac:dyDescent="0.2">
      <c r="A238" s="162" t="s">
        <v>15</v>
      </c>
      <c r="B238" s="162"/>
      <c r="C238" s="162"/>
      <c r="D238" s="162"/>
      <c r="E238" s="162"/>
      <c r="F238" s="162"/>
      <c r="G238" s="162"/>
      <c r="H238" s="162"/>
      <c r="I238" s="162"/>
      <c r="J238" s="162"/>
    </row>
    <row r="239" spans="1:10" ht="18.600000000000001" customHeight="1" x14ac:dyDescent="0.2">
      <c r="A239" s="131" t="s">
        <v>242</v>
      </c>
      <c r="B239" s="131"/>
      <c r="C239" s="131"/>
      <c r="D239" s="131"/>
      <c r="E239" s="128" t="str">
        <f t="shared" ref="E239:J239" si="51">E26</f>
        <v>Actuals           2014-2015</v>
      </c>
      <c r="F239" s="128" t="str">
        <f t="shared" si="51"/>
        <v>Approved Estimates          2015-2016</v>
      </c>
      <c r="G239" s="128" t="str">
        <f t="shared" si="51"/>
        <v>Revised Estimates                 2015-2016</v>
      </c>
      <c r="H239" s="128" t="str">
        <f t="shared" si="51"/>
        <v>Budget Estimates      2016-2017</v>
      </c>
      <c r="I239" s="128" t="str">
        <f t="shared" si="51"/>
        <v>Forward Estimates     2017-2018</v>
      </c>
      <c r="J239" s="128" t="str">
        <f t="shared" si="51"/>
        <v>Forward Estimates     2018-2019</v>
      </c>
    </row>
    <row r="240" spans="1:10" ht="15" customHeight="1" x14ac:dyDescent="0.2">
      <c r="A240" s="130" t="s">
        <v>243</v>
      </c>
      <c r="B240" s="130" t="s">
        <v>244</v>
      </c>
      <c r="C240" s="131" t="s">
        <v>245</v>
      </c>
      <c r="D240" s="131"/>
      <c r="E240" s="101"/>
      <c r="F240" s="101"/>
      <c r="G240" s="101"/>
      <c r="H240" s="101"/>
      <c r="I240" s="101"/>
      <c r="J240" s="101"/>
    </row>
    <row r="241" spans="1:10" ht="15" customHeight="1" x14ac:dyDescent="0.2">
      <c r="A241" s="163"/>
      <c r="B241" s="163"/>
      <c r="C241" s="156"/>
      <c r="D241" s="156"/>
      <c r="E241" s="158"/>
      <c r="F241" s="209"/>
      <c r="G241" s="158"/>
      <c r="H241" s="136"/>
      <c r="I241" s="158"/>
      <c r="J241" s="135"/>
    </row>
    <row r="242" spans="1:10" ht="15" customHeight="1" x14ac:dyDescent="0.2">
      <c r="A242" s="163"/>
      <c r="B242" s="163"/>
      <c r="C242" s="156"/>
      <c r="D242" s="156"/>
      <c r="E242" s="158"/>
      <c r="F242" s="209"/>
      <c r="G242" s="158"/>
      <c r="H242" s="136"/>
      <c r="I242" s="158"/>
      <c r="J242" s="135"/>
    </row>
    <row r="243" spans="1:10" x14ac:dyDescent="0.2">
      <c r="A243" s="137" t="s">
        <v>15</v>
      </c>
      <c r="B243" s="137"/>
      <c r="C243" s="137"/>
      <c r="D243" s="137"/>
      <c r="E243" s="138">
        <v>0</v>
      </c>
      <c r="F243" s="138">
        <v>0</v>
      </c>
      <c r="G243" s="138">
        <v>0</v>
      </c>
      <c r="H243" s="138">
        <v>0</v>
      </c>
      <c r="I243" s="138">
        <v>0</v>
      </c>
      <c r="J243" s="138">
        <v>0</v>
      </c>
    </row>
    <row r="244" spans="1:10" ht="12" customHeight="1" x14ac:dyDescent="0.2">
      <c r="A244" s="290"/>
      <c r="B244" s="290"/>
      <c r="C244" s="290"/>
      <c r="D244" s="290"/>
      <c r="E244" s="290"/>
      <c r="F244" s="290"/>
      <c r="G244" s="290"/>
      <c r="H244" s="290"/>
      <c r="I244" s="290"/>
      <c r="J244" s="290"/>
    </row>
    <row r="245" spans="1:10" ht="13.5" customHeight="1" x14ac:dyDescent="0.2">
      <c r="A245" s="161" t="s">
        <v>288</v>
      </c>
      <c r="B245" s="161"/>
      <c r="C245" s="161"/>
      <c r="D245" s="161"/>
      <c r="E245" s="161"/>
      <c r="F245" s="161"/>
      <c r="G245" s="161"/>
      <c r="H245" s="161"/>
      <c r="I245" s="161"/>
      <c r="J245" s="161"/>
    </row>
    <row r="246" spans="1:10" ht="13.5" customHeight="1" x14ac:dyDescent="0.2">
      <c r="A246" s="131" t="s">
        <v>300</v>
      </c>
      <c r="B246" s="131"/>
      <c r="C246" s="131"/>
      <c r="D246" s="132" t="s">
        <v>301</v>
      </c>
      <c r="E246" s="132" t="s">
        <v>302</v>
      </c>
      <c r="F246" s="131" t="s">
        <v>300</v>
      </c>
      <c r="G246" s="131"/>
      <c r="H246" s="131"/>
      <c r="I246" s="132" t="s">
        <v>301</v>
      </c>
      <c r="J246" s="132" t="s">
        <v>302</v>
      </c>
    </row>
    <row r="247" spans="1:10" ht="13.5" customHeight="1" x14ac:dyDescent="0.2">
      <c r="A247" s="134" t="str">
        <f>Establishment!D535</f>
        <v>Principal</v>
      </c>
      <c r="B247" s="134"/>
      <c r="C247" s="134"/>
      <c r="D247" s="133" t="str">
        <f>Establishment!E535</f>
        <v>R8</v>
      </c>
      <c r="E247" s="133">
        <f>Establishment!C535</f>
        <v>1</v>
      </c>
      <c r="F247" s="134" t="str">
        <f>Establishment!D546</f>
        <v>Executive Officer</v>
      </c>
      <c r="G247" s="134"/>
      <c r="H247" s="134"/>
      <c r="I247" s="133" t="str">
        <f>Establishment!E546</f>
        <v>R28-22</v>
      </c>
      <c r="J247" s="133">
        <f>Establishment!C546</f>
        <v>1</v>
      </c>
    </row>
    <row r="248" spans="1:10" ht="13.5" customHeight="1" x14ac:dyDescent="0.2">
      <c r="A248" s="134" t="str">
        <f>Establishment!D536</f>
        <v>Principal (Vice)</v>
      </c>
      <c r="B248" s="134"/>
      <c r="C248" s="134"/>
      <c r="D248" s="133" t="str">
        <f>Establishment!E536</f>
        <v>R12-10/9</v>
      </c>
      <c r="E248" s="133">
        <f>Establishment!C536</f>
        <v>1</v>
      </c>
      <c r="F248" s="134" t="str">
        <f>Establishment!D547</f>
        <v>Clerical Officer</v>
      </c>
      <c r="G248" s="134"/>
      <c r="H248" s="134"/>
      <c r="I248" s="133" t="str">
        <f>Establishment!E547</f>
        <v>R46-34</v>
      </c>
      <c r="J248" s="133">
        <f>Establishment!C547</f>
        <v>0</v>
      </c>
    </row>
    <row r="249" spans="1:10" ht="13.5" customHeight="1" x14ac:dyDescent="0.2">
      <c r="A249" s="134" t="str">
        <f>Establishment!D537</f>
        <v>Teachers (Graduate)</v>
      </c>
      <c r="B249" s="134"/>
      <c r="C249" s="134"/>
      <c r="D249" s="133" t="str">
        <f>Establishment!E537</f>
        <v>R22-16/14</v>
      </c>
      <c r="E249" s="133">
        <f>Establishment!C537</f>
        <v>23</v>
      </c>
      <c r="F249" s="134" t="str">
        <f>Establishment!D548</f>
        <v>Lab Assistant</v>
      </c>
      <c r="G249" s="134"/>
      <c r="H249" s="134"/>
      <c r="I249" s="133" t="str">
        <f>Establishment!E548</f>
        <v>R46-34</v>
      </c>
      <c r="J249" s="133">
        <f>Establishment!C548</f>
        <v>1</v>
      </c>
    </row>
    <row r="250" spans="1:10" ht="13.5" customHeight="1" x14ac:dyDescent="0.2">
      <c r="A250" s="134" t="str">
        <f>Establishment!D538</f>
        <v>Teachers (Trained)</v>
      </c>
      <c r="B250" s="134"/>
      <c r="C250" s="134"/>
      <c r="D250" s="133" t="str">
        <f>Establishment!E538</f>
        <v>R33-21</v>
      </c>
      <c r="E250" s="133">
        <f>Establishment!C538</f>
        <v>2</v>
      </c>
      <c r="F250" s="212" t="str">
        <f>Establishment!D549</f>
        <v>Groundsman</v>
      </c>
      <c r="G250" s="213"/>
      <c r="H250" s="214"/>
      <c r="I250" s="133" t="str">
        <f>Establishment!E549</f>
        <v>R51-45</v>
      </c>
      <c r="J250" s="133">
        <f>Establishment!C549</f>
        <v>1</v>
      </c>
    </row>
    <row r="251" spans="1:10" ht="13.5" customHeight="1" x14ac:dyDescent="0.2">
      <c r="A251" s="134" t="str">
        <f>Establishment!D539</f>
        <v>Teachers (Untrained)</v>
      </c>
      <c r="B251" s="134"/>
      <c r="C251" s="134"/>
      <c r="D251" s="133" t="str">
        <f>Establishment!E539</f>
        <v>R38-36/34</v>
      </c>
      <c r="E251" s="133">
        <f>Establishment!C539</f>
        <v>1</v>
      </c>
      <c r="F251" s="134" t="str">
        <f>Establishment!D550</f>
        <v>Office Attendant</v>
      </c>
      <c r="G251" s="134"/>
      <c r="H251" s="134"/>
      <c r="I251" s="133" t="str">
        <f>Establishment!E550</f>
        <v>R51-45</v>
      </c>
      <c r="J251" s="133">
        <f>Establishment!C550</f>
        <v>1</v>
      </c>
    </row>
    <row r="252" spans="1:10" ht="13.5" customHeight="1" x14ac:dyDescent="0.2">
      <c r="A252" s="134" t="str">
        <f>Establishment!D540</f>
        <v>Teacher Assistant</v>
      </c>
      <c r="B252" s="134"/>
      <c r="C252" s="134"/>
      <c r="D252" s="133" t="str">
        <f>Establishment!E540</f>
        <v>R38-36</v>
      </c>
      <c r="E252" s="133">
        <f>Establishment!C540</f>
        <v>1</v>
      </c>
      <c r="F252" s="134" t="str">
        <f>Establishment!D554</f>
        <v>Head, Pupil Support Unit</v>
      </c>
      <c r="G252" s="134"/>
      <c r="H252" s="134"/>
      <c r="I252" s="133" t="str">
        <f>Establishment!E554</f>
        <v>R28-22/22-16</v>
      </c>
      <c r="J252" s="133">
        <f>Establishment!C554</f>
        <v>1</v>
      </c>
    </row>
    <row r="253" spans="1:10" ht="13.5" customHeight="1" x14ac:dyDescent="0.2">
      <c r="A253" s="134" t="str">
        <f>Establishment!D541</f>
        <v>Technical II</v>
      </c>
      <c r="B253" s="134"/>
      <c r="C253" s="134"/>
      <c r="D253" s="133" t="str">
        <f>Establishment!E541</f>
        <v>R28-22</v>
      </c>
      <c r="E253" s="133">
        <f>Establishment!C541</f>
        <v>6</v>
      </c>
      <c r="F253" s="134" t="str">
        <f>Establishment!D555</f>
        <v>Teacher Assistant</v>
      </c>
      <c r="G253" s="134"/>
      <c r="H253" s="134"/>
      <c r="I253" s="133" t="str">
        <f>Establishment!E555</f>
        <v>R38-36</v>
      </c>
      <c r="J253" s="133">
        <f>Establishment!C555</f>
        <v>2</v>
      </c>
    </row>
    <row r="254" spans="1:10" ht="13.5" customHeight="1" x14ac:dyDescent="0.2">
      <c r="A254" s="134" t="str">
        <f>Establishment!D542</f>
        <v>Drama Teacher</v>
      </c>
      <c r="B254" s="134"/>
      <c r="C254" s="134"/>
      <c r="D254" s="133" t="str">
        <f>Establishment!E542</f>
        <v>R22-16</v>
      </c>
      <c r="E254" s="133">
        <f>Establishment!C542</f>
        <v>1</v>
      </c>
      <c r="F254" s="134" t="str">
        <f>Establishment!D556</f>
        <v>Teacher (Special Education/LEAP)</v>
      </c>
      <c r="G254" s="134"/>
      <c r="H254" s="134"/>
      <c r="I254" s="133" t="str">
        <f>Establishment!E556</f>
        <v>R33-21</v>
      </c>
      <c r="J254" s="133">
        <f>Establishment!C556</f>
        <v>1</v>
      </c>
    </row>
    <row r="255" spans="1:10" ht="13.5" customHeight="1" x14ac:dyDescent="0.2">
      <c r="A255" s="134" t="str">
        <f>Establishment!D543</f>
        <v>Physical Education Teacher</v>
      </c>
      <c r="B255" s="134"/>
      <c r="C255" s="134"/>
      <c r="D255" s="133" t="str">
        <f>Establishment!E543</f>
        <v>R22-16</v>
      </c>
      <c r="E255" s="133">
        <f>Establishment!C543</f>
        <v>1</v>
      </c>
      <c r="F255" s="134" t="str">
        <f>Establishment!D557</f>
        <v>Teacher (SEN Support)</v>
      </c>
      <c r="G255" s="134"/>
      <c r="H255" s="134"/>
      <c r="I255" s="133" t="str">
        <f>Establishment!E557</f>
        <v>R33-21</v>
      </c>
      <c r="J255" s="133">
        <f>Establishment!C557</f>
        <v>1</v>
      </c>
    </row>
    <row r="256" spans="1:10" ht="15" customHeight="1" x14ac:dyDescent="0.2">
      <c r="A256" s="134" t="str">
        <f>Establishment!D544</f>
        <v>Guidance Counsellor</v>
      </c>
      <c r="B256" s="134"/>
      <c r="C256" s="134"/>
      <c r="D256" s="133" t="str">
        <f>Establishment!E544</f>
        <v>R22-16</v>
      </c>
      <c r="E256" s="133">
        <f>Establishment!C544</f>
        <v>1</v>
      </c>
      <c r="F256" s="134" t="str">
        <f>Establishment!D558</f>
        <v>Safety Officer</v>
      </c>
      <c r="G256" s="134"/>
      <c r="H256" s="134"/>
      <c r="I256" s="133" t="str">
        <f>Establishment!E558</f>
        <v>R38-36</v>
      </c>
      <c r="J256" s="133">
        <f>Establishment!C558</f>
        <v>1</v>
      </c>
    </row>
    <row r="257" spans="1:10" ht="15" customHeight="1" x14ac:dyDescent="0.2">
      <c r="A257" s="134" t="str">
        <f>Establishment!D545</f>
        <v>School Safety Officer</v>
      </c>
      <c r="B257" s="134"/>
      <c r="C257" s="134"/>
      <c r="D257" s="133" t="str">
        <f>Establishment!E545</f>
        <v>R28-22</v>
      </c>
      <c r="E257" s="133">
        <f>Establishment!C545</f>
        <v>1</v>
      </c>
      <c r="F257" s="134"/>
      <c r="G257" s="134"/>
      <c r="H257" s="134"/>
      <c r="I257" s="133"/>
      <c r="J257" s="133"/>
    </row>
    <row r="258" spans="1:10" ht="15" customHeight="1" x14ac:dyDescent="0.2">
      <c r="A258" s="203" t="s">
        <v>303</v>
      </c>
      <c r="B258" s="203"/>
      <c r="C258" s="203"/>
      <c r="D258" s="203"/>
      <c r="E258" s="203"/>
      <c r="F258" s="203"/>
      <c r="G258" s="203"/>
      <c r="H258" s="203"/>
      <c r="I258" s="203"/>
      <c r="J258" s="204">
        <f>SUM(E247:E257,J247:J257)</f>
        <v>49</v>
      </c>
    </row>
    <row r="259" spans="1:10" ht="15" customHeight="1" x14ac:dyDescent="0.2">
      <c r="A259" s="129"/>
      <c r="B259" s="129"/>
      <c r="C259" s="129"/>
      <c r="D259" s="129"/>
      <c r="E259" s="129"/>
      <c r="F259" s="129"/>
      <c r="G259" s="129"/>
      <c r="H259" s="129"/>
      <c r="I259" s="129"/>
      <c r="J259" s="129"/>
    </row>
    <row r="260" spans="1:10" x14ac:dyDescent="0.2">
      <c r="A260" s="180" t="s">
        <v>304</v>
      </c>
      <c r="B260" s="180"/>
      <c r="C260" s="180"/>
      <c r="D260" s="180"/>
      <c r="E260" s="180"/>
      <c r="F260" s="180"/>
      <c r="G260" s="180"/>
      <c r="H260" s="180"/>
      <c r="I260" s="180"/>
      <c r="J260" s="180"/>
    </row>
    <row r="261" spans="1:10" x14ac:dyDescent="0.2">
      <c r="A261" s="181" t="s">
        <v>305</v>
      </c>
      <c r="B261" s="181"/>
      <c r="C261" s="181"/>
      <c r="D261" s="181"/>
      <c r="E261" s="181"/>
      <c r="F261" s="181"/>
      <c r="G261" s="181"/>
      <c r="H261" s="181"/>
      <c r="I261" s="181"/>
      <c r="J261" s="181"/>
    </row>
    <row r="262" spans="1:10" ht="24" customHeight="1" x14ac:dyDescent="0.2">
      <c r="A262" s="129" t="s">
        <v>1675</v>
      </c>
      <c r="B262" s="129"/>
      <c r="C262" s="129"/>
      <c r="D262" s="129"/>
      <c r="E262" s="129"/>
      <c r="F262" s="129"/>
      <c r="G262" s="129"/>
      <c r="H262" s="129"/>
      <c r="I262" s="129"/>
      <c r="J262" s="129"/>
    </row>
    <row r="263" spans="1:10" ht="24" customHeight="1" x14ac:dyDescent="0.2">
      <c r="A263" s="129" t="s">
        <v>1676</v>
      </c>
      <c r="B263" s="129"/>
      <c r="C263" s="129"/>
      <c r="D263" s="129"/>
      <c r="E263" s="129"/>
      <c r="F263" s="129"/>
      <c r="G263" s="129"/>
      <c r="H263" s="129"/>
      <c r="I263" s="129"/>
      <c r="J263" s="129"/>
    </row>
    <row r="264" spans="1:10" ht="24" customHeight="1" x14ac:dyDescent="0.2">
      <c r="A264" s="129" t="s">
        <v>1677</v>
      </c>
      <c r="B264" s="129"/>
      <c r="C264" s="129"/>
      <c r="D264" s="129"/>
      <c r="E264" s="129"/>
      <c r="F264" s="129"/>
      <c r="G264" s="129"/>
      <c r="H264" s="129"/>
      <c r="I264" s="129"/>
      <c r="J264" s="129"/>
    </row>
    <row r="265" spans="1:10" ht="24" customHeight="1" x14ac:dyDescent="0.2">
      <c r="A265" s="129" t="s">
        <v>1678</v>
      </c>
      <c r="B265" s="129"/>
      <c r="C265" s="129"/>
      <c r="D265" s="129"/>
      <c r="E265" s="129"/>
      <c r="F265" s="129"/>
      <c r="G265" s="129"/>
      <c r="H265" s="129"/>
      <c r="I265" s="129"/>
      <c r="J265" s="129"/>
    </row>
    <row r="266" spans="1:10" x14ac:dyDescent="0.2">
      <c r="A266" s="129"/>
      <c r="B266" s="129"/>
      <c r="C266" s="129"/>
      <c r="D266" s="129"/>
      <c r="E266" s="129"/>
      <c r="F266" s="129"/>
      <c r="G266" s="129"/>
      <c r="H266" s="129"/>
      <c r="I266" s="129"/>
      <c r="J266" s="129"/>
    </row>
    <row r="267" spans="1:10" x14ac:dyDescent="0.2">
      <c r="A267" s="183" t="s">
        <v>415</v>
      </c>
      <c r="B267" s="183"/>
      <c r="C267" s="183"/>
      <c r="D267" s="183"/>
      <c r="E267" s="183"/>
      <c r="F267" s="183"/>
      <c r="G267" s="183"/>
      <c r="H267" s="183"/>
      <c r="I267" s="183"/>
      <c r="J267" s="183"/>
    </row>
    <row r="268" spans="1:10" ht="46.5" customHeight="1" x14ac:dyDescent="0.2">
      <c r="A268" s="129" t="s">
        <v>1679</v>
      </c>
      <c r="B268" s="129"/>
      <c r="C268" s="129"/>
      <c r="D268" s="129"/>
      <c r="E268" s="129"/>
      <c r="F268" s="129"/>
      <c r="G268" s="129"/>
      <c r="H268" s="129"/>
      <c r="I268" s="129"/>
      <c r="J268" s="129"/>
    </row>
    <row r="269" spans="1:10" ht="15" customHeight="1" x14ac:dyDescent="0.2">
      <c r="A269" s="129"/>
      <c r="B269" s="129"/>
      <c r="C269" s="129"/>
      <c r="D269" s="129"/>
      <c r="E269" s="129"/>
      <c r="F269" s="129"/>
      <c r="G269" s="129"/>
      <c r="H269" s="129"/>
      <c r="I269" s="129"/>
      <c r="J269" s="129"/>
    </row>
    <row r="270" spans="1:10" ht="22.5" x14ac:dyDescent="0.2">
      <c r="A270" s="180" t="s">
        <v>315</v>
      </c>
      <c r="B270" s="180"/>
      <c r="C270" s="180"/>
      <c r="D270" s="180"/>
      <c r="E270" s="180"/>
      <c r="F270" s="184" t="str">
        <f>F136</f>
        <v xml:space="preserve"> Actual 2014-2015</v>
      </c>
      <c r="G270" s="184" t="str">
        <f>G136</f>
        <v xml:space="preserve"> Estimate 2015-2016</v>
      </c>
      <c r="H270" s="184" t="str">
        <f>H136</f>
        <v xml:space="preserve"> Target 2016-2017</v>
      </c>
      <c r="I270" s="184" t="str">
        <f>I136</f>
        <v xml:space="preserve"> Target 2017-2018</v>
      </c>
      <c r="J270" s="184" t="str">
        <f>J136</f>
        <v xml:space="preserve"> Target 2018-2019</v>
      </c>
    </row>
    <row r="271" spans="1:10" x14ac:dyDescent="0.2">
      <c r="A271" s="180" t="s">
        <v>316</v>
      </c>
      <c r="B271" s="180"/>
      <c r="C271" s="180"/>
      <c r="D271" s="180"/>
      <c r="E271" s="180"/>
      <c r="F271" s="180"/>
      <c r="G271" s="180"/>
      <c r="H271" s="180"/>
      <c r="I271" s="180"/>
      <c r="J271" s="180"/>
    </row>
    <row r="272" spans="1:10" x14ac:dyDescent="0.2">
      <c r="A272" s="296" t="s">
        <v>1680</v>
      </c>
      <c r="B272" s="296"/>
      <c r="C272" s="296"/>
      <c r="D272" s="296"/>
      <c r="E272" s="296"/>
      <c r="F272" s="272" t="s">
        <v>1681</v>
      </c>
      <c r="G272" s="272" t="s">
        <v>1682</v>
      </c>
      <c r="H272" s="272" t="s">
        <v>1683</v>
      </c>
      <c r="I272" s="272" t="s">
        <v>1684</v>
      </c>
      <c r="J272" s="272" t="s">
        <v>1685</v>
      </c>
    </row>
    <row r="273" spans="1:10" ht="24.75" customHeight="1" x14ac:dyDescent="0.2">
      <c r="A273" s="269" t="s">
        <v>1686</v>
      </c>
      <c r="B273" s="269"/>
      <c r="C273" s="269"/>
      <c r="D273" s="269"/>
      <c r="E273" s="269"/>
      <c r="F273" s="272" t="s">
        <v>1687</v>
      </c>
      <c r="G273" s="190"/>
      <c r="H273" s="190"/>
      <c r="I273" s="190"/>
      <c r="J273" s="190"/>
    </row>
    <row r="274" spans="1:10" x14ac:dyDescent="0.2">
      <c r="A274" s="188"/>
      <c r="B274" s="188"/>
      <c r="C274" s="188"/>
      <c r="D274" s="188"/>
      <c r="E274" s="188"/>
      <c r="F274" s="273"/>
      <c r="G274" s="190"/>
      <c r="H274" s="190"/>
      <c r="I274" s="190"/>
      <c r="J274" s="190"/>
    </row>
    <row r="275" spans="1:10" ht="24" customHeight="1" x14ac:dyDescent="0.2">
      <c r="A275" s="180" t="s">
        <v>324</v>
      </c>
      <c r="B275" s="180"/>
      <c r="C275" s="180"/>
      <c r="D275" s="180"/>
      <c r="E275" s="180"/>
      <c r="F275" s="180"/>
      <c r="G275" s="180"/>
      <c r="H275" s="180"/>
      <c r="I275" s="180"/>
      <c r="J275" s="180"/>
    </row>
    <row r="276" spans="1:10" ht="24.75" customHeight="1" x14ac:dyDescent="0.2">
      <c r="A276" s="498" t="s">
        <v>1688</v>
      </c>
      <c r="B276" s="498"/>
      <c r="C276" s="498"/>
      <c r="D276" s="498"/>
      <c r="E276" s="498"/>
      <c r="F276" s="353" t="s">
        <v>1689</v>
      </c>
      <c r="G276" s="186" t="s">
        <v>1639</v>
      </c>
      <c r="H276" s="186" t="s">
        <v>1690</v>
      </c>
      <c r="I276" s="186" t="s">
        <v>1691</v>
      </c>
      <c r="J276" s="186" t="s">
        <v>1692</v>
      </c>
    </row>
    <row r="277" spans="1:10" ht="24.75" customHeight="1" x14ac:dyDescent="0.2">
      <c r="A277" s="498" t="s">
        <v>1693</v>
      </c>
      <c r="B277" s="498"/>
      <c r="C277" s="498"/>
      <c r="D277" s="498"/>
      <c r="E277" s="498"/>
      <c r="F277" s="499">
        <v>0.45</v>
      </c>
      <c r="G277" s="500">
        <v>0.45</v>
      </c>
      <c r="H277" s="500">
        <v>0.5</v>
      </c>
      <c r="I277" s="500" t="s">
        <v>1694</v>
      </c>
      <c r="J277" s="500">
        <v>0.94</v>
      </c>
    </row>
    <row r="278" spans="1:10" ht="15" customHeight="1" x14ac:dyDescent="0.2">
      <c r="A278" s="129"/>
      <c r="B278" s="129"/>
      <c r="C278" s="129"/>
      <c r="D278" s="129"/>
      <c r="E278" s="129"/>
      <c r="F278" s="129"/>
      <c r="G278" s="129"/>
      <c r="H278" s="129"/>
      <c r="I278" s="129"/>
      <c r="J278" s="129"/>
    </row>
    <row r="279" spans="1:10" x14ac:dyDescent="0.2">
      <c r="A279" s="150" t="s">
        <v>1695</v>
      </c>
      <c r="B279" s="150"/>
      <c r="C279" s="150"/>
      <c r="D279" s="150"/>
      <c r="E279" s="150"/>
      <c r="F279" s="150"/>
      <c r="G279" s="150"/>
      <c r="H279" s="150"/>
      <c r="I279" s="150"/>
      <c r="J279" s="150"/>
    </row>
    <row r="280" spans="1:10" x14ac:dyDescent="0.2">
      <c r="A280" s="389" t="s">
        <v>291</v>
      </c>
      <c r="B280" s="389"/>
      <c r="C280" s="389"/>
      <c r="D280" s="389"/>
      <c r="E280" s="389"/>
      <c r="F280" s="389"/>
      <c r="G280" s="389"/>
      <c r="H280" s="389"/>
      <c r="I280" s="389"/>
      <c r="J280" s="389"/>
    </row>
    <row r="281" spans="1:10" ht="26.25" customHeight="1" x14ac:dyDescent="0.2">
      <c r="A281" s="129" t="s">
        <v>1696</v>
      </c>
      <c r="B281" s="129"/>
      <c r="C281" s="129"/>
      <c r="D281" s="129"/>
      <c r="E281" s="129"/>
      <c r="F281" s="129"/>
      <c r="G281" s="129"/>
      <c r="H281" s="129"/>
      <c r="I281" s="129"/>
      <c r="J281" s="129"/>
    </row>
    <row r="282" spans="1:10" ht="15" customHeight="1" x14ac:dyDescent="0.2">
      <c r="A282" s="128" t="s">
        <v>293</v>
      </c>
      <c r="B282" s="128"/>
      <c r="C282" s="128"/>
      <c r="D282" s="128"/>
      <c r="E282" s="128"/>
      <c r="F282" s="128"/>
      <c r="G282" s="128"/>
      <c r="H282" s="128"/>
      <c r="I282" s="128"/>
      <c r="J282" s="128"/>
    </row>
    <row r="283" spans="1:10" ht="33.75" x14ac:dyDescent="0.2">
      <c r="A283" s="152" t="s">
        <v>243</v>
      </c>
      <c r="B283" s="151" t="s">
        <v>242</v>
      </c>
      <c r="C283" s="151"/>
      <c r="D283" s="151"/>
      <c r="E283" s="132" t="str">
        <f t="shared" ref="E283:J283" si="52">E26</f>
        <v>Actuals           2014-2015</v>
      </c>
      <c r="F283" s="132" t="str">
        <f t="shared" si="52"/>
        <v>Approved Estimates          2015-2016</v>
      </c>
      <c r="G283" s="132" t="str">
        <f t="shared" si="52"/>
        <v>Revised Estimates                 2015-2016</v>
      </c>
      <c r="H283" s="132" t="str">
        <f t="shared" si="52"/>
        <v>Budget Estimates      2016-2017</v>
      </c>
      <c r="I283" s="132" t="str">
        <f t="shared" si="52"/>
        <v>Forward Estimates     2017-2018</v>
      </c>
      <c r="J283" s="132" t="str">
        <f t="shared" si="52"/>
        <v>Forward Estimates     2018-2019</v>
      </c>
    </row>
    <row r="284" spans="1:10" x14ac:dyDescent="0.2">
      <c r="A284" s="133"/>
      <c r="B284" s="134"/>
      <c r="C284" s="134"/>
      <c r="D284" s="134"/>
      <c r="E284" s="135"/>
      <c r="F284" s="262"/>
      <c r="G284" s="135"/>
      <c r="H284" s="136"/>
      <c r="I284" s="158"/>
      <c r="J284" s="158"/>
    </row>
    <row r="285" spans="1:10" ht="15" customHeight="1" x14ac:dyDescent="0.2">
      <c r="A285" s="137" t="s">
        <v>1605</v>
      </c>
      <c r="B285" s="137"/>
      <c r="C285" s="137"/>
      <c r="D285" s="137"/>
      <c r="E285" s="138">
        <f t="shared" ref="E285:J285" si="53">SUM(E284:E284)</f>
        <v>0</v>
      </c>
      <c r="F285" s="138">
        <f t="shared" si="53"/>
        <v>0</v>
      </c>
      <c r="G285" s="138">
        <f t="shared" si="53"/>
        <v>0</v>
      </c>
      <c r="H285" s="138">
        <f t="shared" si="53"/>
        <v>0</v>
      </c>
      <c r="I285" s="138">
        <f t="shared" si="53"/>
        <v>0</v>
      </c>
      <c r="J285" s="138">
        <f t="shared" si="53"/>
        <v>0</v>
      </c>
    </row>
    <row r="286" spans="1:10" ht="9" customHeight="1" x14ac:dyDescent="0.2">
      <c r="A286" s="129"/>
      <c r="B286" s="129"/>
      <c r="C286" s="129"/>
      <c r="D286" s="129"/>
      <c r="E286" s="129"/>
      <c r="F286" s="129"/>
      <c r="G286" s="129"/>
      <c r="H286" s="129"/>
      <c r="I286" s="129"/>
      <c r="J286" s="129"/>
    </row>
    <row r="287" spans="1:10" ht="15" customHeight="1" x14ac:dyDescent="0.2">
      <c r="A287" s="128" t="s">
        <v>284</v>
      </c>
      <c r="B287" s="128"/>
      <c r="C287" s="128"/>
      <c r="D287" s="128"/>
      <c r="E287" s="128"/>
      <c r="F287" s="128"/>
      <c r="G287" s="128"/>
      <c r="H287" s="128"/>
      <c r="I287" s="128"/>
      <c r="J287" s="128"/>
    </row>
    <row r="288" spans="1:10" ht="33.75" x14ac:dyDescent="0.2">
      <c r="A288" s="152" t="s">
        <v>243</v>
      </c>
      <c r="B288" s="151" t="s">
        <v>242</v>
      </c>
      <c r="C288" s="151"/>
      <c r="D288" s="151"/>
      <c r="E288" s="132" t="str">
        <f t="shared" ref="E288:J288" si="54">E26</f>
        <v>Actuals           2014-2015</v>
      </c>
      <c r="F288" s="132" t="str">
        <f t="shared" si="54"/>
        <v>Approved Estimates          2015-2016</v>
      </c>
      <c r="G288" s="132" t="str">
        <f t="shared" si="54"/>
        <v>Revised Estimates                 2015-2016</v>
      </c>
      <c r="H288" s="132" t="str">
        <f t="shared" si="54"/>
        <v>Budget Estimates      2016-2017</v>
      </c>
      <c r="I288" s="132" t="str">
        <f t="shared" si="54"/>
        <v>Forward Estimates     2017-2018</v>
      </c>
      <c r="J288" s="132" t="str">
        <f t="shared" si="54"/>
        <v>Forward Estimates     2018-2019</v>
      </c>
    </row>
    <row r="289" spans="1:10" ht="13.5" customHeight="1" x14ac:dyDescent="0.2">
      <c r="A289" s="151" t="s">
        <v>7</v>
      </c>
      <c r="B289" s="151"/>
      <c r="C289" s="151"/>
      <c r="D289" s="151"/>
      <c r="E289" s="151"/>
      <c r="F289" s="151"/>
      <c r="G289" s="151"/>
      <c r="H289" s="151"/>
      <c r="I289" s="151"/>
      <c r="J289" s="190"/>
    </row>
    <row r="290" spans="1:10" x14ac:dyDescent="0.2">
      <c r="A290" s="207">
        <v>210</v>
      </c>
      <c r="B290" s="129" t="s">
        <v>7</v>
      </c>
      <c r="C290" s="129"/>
      <c r="D290" s="129"/>
      <c r="E290" s="211">
        <v>143989.25</v>
      </c>
      <c r="F290" s="209">
        <v>171500</v>
      </c>
      <c r="G290" s="211">
        <v>184500</v>
      </c>
      <c r="H290" s="210">
        <v>184600</v>
      </c>
      <c r="I290" s="211">
        <v>188400</v>
      </c>
      <c r="J290" s="211">
        <v>192700</v>
      </c>
    </row>
    <row r="291" spans="1:10" x14ac:dyDescent="0.2">
      <c r="A291" s="207">
        <v>212</v>
      </c>
      <c r="B291" s="129" t="s">
        <v>9</v>
      </c>
      <c r="C291" s="129"/>
      <c r="D291" s="129"/>
      <c r="E291" s="211">
        <v>0</v>
      </c>
      <c r="F291" s="209">
        <v>0</v>
      </c>
      <c r="G291" s="211">
        <v>0</v>
      </c>
      <c r="H291" s="210">
        <v>0</v>
      </c>
      <c r="I291" s="211">
        <v>0</v>
      </c>
      <c r="J291" s="211">
        <v>0</v>
      </c>
    </row>
    <row r="292" spans="1:10" x14ac:dyDescent="0.2">
      <c r="A292" s="207">
        <v>216</v>
      </c>
      <c r="B292" s="129" t="s">
        <v>10</v>
      </c>
      <c r="C292" s="129"/>
      <c r="D292" s="129"/>
      <c r="E292" s="211">
        <v>9600</v>
      </c>
      <c r="F292" s="209">
        <v>9600</v>
      </c>
      <c r="G292" s="211">
        <v>9600</v>
      </c>
      <c r="H292" s="210">
        <v>9600</v>
      </c>
      <c r="I292" s="211">
        <v>9600</v>
      </c>
      <c r="J292" s="211">
        <v>9600</v>
      </c>
    </row>
    <row r="293" spans="1:10" x14ac:dyDescent="0.2">
      <c r="A293" s="207">
        <v>218</v>
      </c>
      <c r="B293" s="129" t="s">
        <v>294</v>
      </c>
      <c r="C293" s="129"/>
      <c r="D293" s="129"/>
      <c r="E293" s="211">
        <v>0</v>
      </c>
      <c r="F293" s="209">
        <v>0</v>
      </c>
      <c r="G293" s="211">
        <v>0</v>
      </c>
      <c r="H293" s="210">
        <v>0</v>
      </c>
      <c r="I293" s="211">
        <v>0</v>
      </c>
      <c r="J293" s="211">
        <v>0</v>
      </c>
    </row>
    <row r="294" spans="1:10" ht="13.5" customHeight="1" x14ac:dyDescent="0.2">
      <c r="A294" s="156" t="s">
        <v>295</v>
      </c>
      <c r="B294" s="156"/>
      <c r="C294" s="156"/>
      <c r="D294" s="156"/>
      <c r="E294" s="157">
        <f t="shared" ref="E294:J294" si="55">SUM(E290:E293)</f>
        <v>153589.25</v>
      </c>
      <c r="F294" s="157">
        <f t="shared" si="55"/>
        <v>181100</v>
      </c>
      <c r="G294" s="157">
        <f t="shared" si="55"/>
        <v>194100</v>
      </c>
      <c r="H294" s="157">
        <f t="shared" si="55"/>
        <v>194200</v>
      </c>
      <c r="I294" s="157">
        <f t="shared" si="55"/>
        <v>198000</v>
      </c>
      <c r="J294" s="157">
        <f t="shared" si="55"/>
        <v>202300</v>
      </c>
    </row>
    <row r="295" spans="1:10" ht="13.5" customHeight="1" x14ac:dyDescent="0.2">
      <c r="A295" s="156" t="s">
        <v>296</v>
      </c>
      <c r="B295" s="156"/>
      <c r="C295" s="156"/>
      <c r="D295" s="156"/>
      <c r="E295" s="156"/>
      <c r="F295" s="156"/>
      <c r="G295" s="156"/>
      <c r="H295" s="156"/>
      <c r="I295" s="156"/>
      <c r="J295" s="190"/>
    </row>
    <row r="296" spans="1:10" x14ac:dyDescent="0.2">
      <c r="A296" s="207">
        <v>224</v>
      </c>
      <c r="B296" s="129" t="s">
        <v>206</v>
      </c>
      <c r="C296" s="129"/>
      <c r="D296" s="129"/>
      <c r="E296" s="211">
        <v>28799.58</v>
      </c>
      <c r="F296" s="211">
        <v>28000</v>
      </c>
      <c r="G296" s="211">
        <v>28000</v>
      </c>
      <c r="H296" s="210">
        <v>23000</v>
      </c>
      <c r="I296" s="211">
        <v>23000</v>
      </c>
      <c r="J296" s="211">
        <v>23000</v>
      </c>
    </row>
    <row r="297" spans="1:10" x14ac:dyDescent="0.2">
      <c r="A297" s="207">
        <v>226</v>
      </c>
      <c r="B297" s="129" t="s">
        <v>207</v>
      </c>
      <c r="C297" s="129"/>
      <c r="D297" s="129"/>
      <c r="E297" s="211">
        <v>9800</v>
      </c>
      <c r="F297" s="211">
        <v>8000</v>
      </c>
      <c r="G297" s="211">
        <v>8000</v>
      </c>
      <c r="H297" s="210">
        <v>8000</v>
      </c>
      <c r="I297" s="211">
        <v>8000</v>
      </c>
      <c r="J297" s="211">
        <v>8000</v>
      </c>
    </row>
    <row r="298" spans="1:10" x14ac:dyDescent="0.2">
      <c r="A298" s="207">
        <v>228</v>
      </c>
      <c r="B298" s="129" t="s">
        <v>208</v>
      </c>
      <c r="C298" s="129"/>
      <c r="D298" s="129"/>
      <c r="E298" s="211">
        <v>4482.91</v>
      </c>
      <c r="F298" s="211">
        <v>8000</v>
      </c>
      <c r="G298" s="211">
        <v>8000</v>
      </c>
      <c r="H298" s="210">
        <v>8000</v>
      </c>
      <c r="I298" s="211">
        <v>8000</v>
      </c>
      <c r="J298" s="211">
        <v>8000</v>
      </c>
    </row>
    <row r="299" spans="1:10" x14ac:dyDescent="0.2">
      <c r="A299" s="207">
        <v>229</v>
      </c>
      <c r="B299" s="129" t="s">
        <v>209</v>
      </c>
      <c r="C299" s="129"/>
      <c r="D299" s="129"/>
      <c r="E299" s="211">
        <v>16752.23</v>
      </c>
      <c r="F299" s="211">
        <v>20000</v>
      </c>
      <c r="G299" s="211">
        <v>29500</v>
      </c>
      <c r="H299" s="210">
        <v>20000</v>
      </c>
      <c r="I299" s="211">
        <v>20000</v>
      </c>
      <c r="J299" s="211">
        <v>20000</v>
      </c>
    </row>
    <row r="300" spans="1:10" x14ac:dyDescent="0.2">
      <c r="A300" s="207">
        <v>232</v>
      </c>
      <c r="B300" s="129" t="s">
        <v>211</v>
      </c>
      <c r="C300" s="129"/>
      <c r="D300" s="129"/>
      <c r="E300" s="211">
        <v>1000</v>
      </c>
      <c r="F300" s="211">
        <v>10000</v>
      </c>
      <c r="G300" s="211">
        <v>10000</v>
      </c>
      <c r="H300" s="210">
        <v>10000</v>
      </c>
      <c r="I300" s="211">
        <v>10000</v>
      </c>
      <c r="J300" s="211">
        <v>10000</v>
      </c>
    </row>
    <row r="301" spans="1:10" x14ac:dyDescent="0.2">
      <c r="A301" s="207">
        <v>234</v>
      </c>
      <c r="B301" s="129" t="s">
        <v>546</v>
      </c>
      <c r="C301" s="129"/>
      <c r="D301" s="129"/>
      <c r="E301" s="211">
        <v>72000</v>
      </c>
      <c r="F301" s="211">
        <v>72000</v>
      </c>
      <c r="G301" s="211">
        <v>72000</v>
      </c>
      <c r="H301" s="210">
        <v>72000</v>
      </c>
      <c r="I301" s="211">
        <v>72000</v>
      </c>
      <c r="J301" s="211">
        <v>72000</v>
      </c>
    </row>
    <row r="302" spans="1:10" x14ac:dyDescent="0.2">
      <c r="A302" s="207">
        <v>236</v>
      </c>
      <c r="B302" s="129" t="s">
        <v>213</v>
      </c>
      <c r="C302" s="129"/>
      <c r="D302" s="129"/>
      <c r="E302" s="211">
        <v>5509.96</v>
      </c>
      <c r="F302" s="211">
        <v>6000</v>
      </c>
      <c r="G302" s="211">
        <v>6000</v>
      </c>
      <c r="H302" s="210">
        <v>6000</v>
      </c>
      <c r="I302" s="211">
        <v>6000</v>
      </c>
      <c r="J302" s="211">
        <v>6000</v>
      </c>
    </row>
    <row r="303" spans="1:10" x14ac:dyDescent="0.2">
      <c r="A303" s="207">
        <v>246</v>
      </c>
      <c r="B303" s="129" t="s">
        <v>218</v>
      </c>
      <c r="C303" s="129"/>
      <c r="D303" s="129"/>
      <c r="E303" s="211">
        <v>5994.1</v>
      </c>
      <c r="F303" s="211">
        <v>7000</v>
      </c>
      <c r="G303" s="211">
        <v>7000</v>
      </c>
      <c r="H303" s="210">
        <v>7000</v>
      </c>
      <c r="I303" s="211">
        <v>7000</v>
      </c>
      <c r="J303" s="211">
        <v>7000</v>
      </c>
    </row>
    <row r="304" spans="1:10" x14ac:dyDescent="0.2">
      <c r="A304" s="207">
        <v>275</v>
      </c>
      <c r="B304" s="129" t="s">
        <v>228</v>
      </c>
      <c r="C304" s="129"/>
      <c r="D304" s="129"/>
      <c r="E304" s="211">
        <v>3049.7</v>
      </c>
      <c r="F304" s="211">
        <v>15000</v>
      </c>
      <c r="G304" s="211">
        <v>5500</v>
      </c>
      <c r="H304" s="210">
        <v>15000</v>
      </c>
      <c r="I304" s="211">
        <v>15000</v>
      </c>
      <c r="J304" s="211">
        <v>15000</v>
      </c>
    </row>
    <row r="305" spans="1:10" ht="13.5" customHeight="1" x14ac:dyDescent="0.2">
      <c r="A305" s="156" t="s">
        <v>298</v>
      </c>
      <c r="B305" s="156"/>
      <c r="C305" s="156"/>
      <c r="D305" s="156"/>
      <c r="E305" s="157">
        <f t="shared" ref="E305:J305" si="56">SUM(E296:E304)</f>
        <v>147388.48000000001</v>
      </c>
      <c r="F305" s="264">
        <f t="shared" si="56"/>
        <v>174000</v>
      </c>
      <c r="G305" s="157">
        <f t="shared" si="56"/>
        <v>174000</v>
      </c>
      <c r="H305" s="157">
        <f t="shared" si="56"/>
        <v>169000</v>
      </c>
      <c r="I305" s="157">
        <f t="shared" si="56"/>
        <v>169000</v>
      </c>
      <c r="J305" s="157">
        <f t="shared" si="56"/>
        <v>169000</v>
      </c>
    </row>
    <row r="306" spans="1:10" x14ac:dyDescent="0.2">
      <c r="A306" s="159" t="s">
        <v>299</v>
      </c>
      <c r="B306" s="159"/>
      <c r="C306" s="159"/>
      <c r="D306" s="159"/>
      <c r="E306" s="160">
        <f t="shared" ref="E306:J306" si="57">SUM(E294,E305)</f>
        <v>300977.73</v>
      </c>
      <c r="F306" s="160">
        <f t="shared" si="57"/>
        <v>355100</v>
      </c>
      <c r="G306" s="160">
        <f t="shared" si="57"/>
        <v>368100</v>
      </c>
      <c r="H306" s="160">
        <f t="shared" si="57"/>
        <v>363200</v>
      </c>
      <c r="I306" s="160">
        <f t="shared" si="57"/>
        <v>367000</v>
      </c>
      <c r="J306" s="160">
        <f t="shared" si="57"/>
        <v>371300</v>
      </c>
    </row>
    <row r="307" spans="1:10" x14ac:dyDescent="0.2">
      <c r="A307" s="129"/>
      <c r="B307" s="129"/>
      <c r="C307" s="129"/>
      <c r="D307" s="129"/>
      <c r="E307" s="129"/>
      <c r="F307" s="129"/>
      <c r="G307" s="129"/>
      <c r="H307" s="129"/>
      <c r="I307" s="129"/>
      <c r="J307" s="190"/>
    </row>
    <row r="308" spans="1:10" ht="15" customHeight="1" x14ac:dyDescent="0.2">
      <c r="A308" s="162" t="s">
        <v>15</v>
      </c>
      <c r="B308" s="162"/>
      <c r="C308" s="162"/>
      <c r="D308" s="162"/>
      <c r="E308" s="162"/>
      <c r="F308" s="162"/>
      <c r="G308" s="162"/>
      <c r="H308" s="162"/>
      <c r="I308" s="162"/>
      <c r="J308" s="162"/>
    </row>
    <row r="309" spans="1:10" ht="18.600000000000001" customHeight="1" x14ac:dyDescent="0.2">
      <c r="A309" s="131" t="s">
        <v>242</v>
      </c>
      <c r="B309" s="131"/>
      <c r="C309" s="131"/>
      <c r="D309" s="131"/>
      <c r="E309" s="128" t="str">
        <f t="shared" ref="E309:J309" si="58">E26</f>
        <v>Actuals           2014-2015</v>
      </c>
      <c r="F309" s="128" t="str">
        <f t="shared" si="58"/>
        <v>Approved Estimates          2015-2016</v>
      </c>
      <c r="G309" s="128" t="str">
        <f t="shared" si="58"/>
        <v>Revised Estimates                 2015-2016</v>
      </c>
      <c r="H309" s="128" t="str">
        <f t="shared" si="58"/>
        <v>Budget Estimates      2016-2017</v>
      </c>
      <c r="I309" s="128" t="str">
        <f t="shared" si="58"/>
        <v>Forward Estimates     2017-2018</v>
      </c>
      <c r="J309" s="128" t="str">
        <f t="shared" si="58"/>
        <v>Forward Estimates     2018-2019</v>
      </c>
    </row>
    <row r="310" spans="1:10" x14ac:dyDescent="0.2">
      <c r="A310" s="130" t="s">
        <v>243</v>
      </c>
      <c r="B310" s="130" t="s">
        <v>244</v>
      </c>
      <c r="C310" s="131" t="s">
        <v>245</v>
      </c>
      <c r="D310" s="131"/>
      <c r="E310" s="101"/>
      <c r="F310" s="101"/>
      <c r="G310" s="101"/>
      <c r="H310" s="101"/>
      <c r="I310" s="101"/>
      <c r="J310" s="101"/>
    </row>
    <row r="311" spans="1:10" x14ac:dyDescent="0.2">
      <c r="A311" s="163"/>
      <c r="B311" s="163"/>
      <c r="C311" s="156"/>
      <c r="D311" s="156"/>
      <c r="E311" s="158"/>
      <c r="F311" s="209"/>
      <c r="G311" s="158"/>
      <c r="H311" s="136"/>
      <c r="I311" s="158"/>
      <c r="J311" s="135"/>
    </row>
    <row r="312" spans="1:10" ht="15" customHeight="1" x14ac:dyDescent="0.2">
      <c r="A312" s="163"/>
      <c r="B312" s="163"/>
      <c r="C312" s="156"/>
      <c r="D312" s="156"/>
      <c r="E312" s="158"/>
      <c r="F312" s="209"/>
      <c r="G312" s="158"/>
      <c r="H312" s="136"/>
      <c r="I312" s="158"/>
      <c r="J312" s="135"/>
    </row>
    <row r="313" spans="1:10" x14ac:dyDescent="0.2">
      <c r="A313" s="137" t="s">
        <v>15</v>
      </c>
      <c r="B313" s="137"/>
      <c r="C313" s="137"/>
      <c r="D313" s="137"/>
      <c r="E313" s="138">
        <v>0</v>
      </c>
      <c r="F313" s="138">
        <v>0</v>
      </c>
      <c r="G313" s="138">
        <v>0</v>
      </c>
      <c r="H313" s="138">
        <v>0</v>
      </c>
      <c r="I313" s="138">
        <v>0</v>
      </c>
      <c r="J313" s="138">
        <v>0</v>
      </c>
    </row>
    <row r="314" spans="1:10" ht="8.25" customHeight="1" x14ac:dyDescent="0.2">
      <c r="A314" s="290"/>
      <c r="B314" s="290"/>
      <c r="C314" s="290"/>
      <c r="D314" s="290"/>
      <c r="E314" s="290"/>
      <c r="F314" s="290"/>
      <c r="G314" s="290"/>
      <c r="H314" s="290"/>
      <c r="I314" s="290"/>
      <c r="J314" s="290"/>
    </row>
    <row r="315" spans="1:10" ht="15" customHeight="1" x14ac:dyDescent="0.2">
      <c r="A315" s="161" t="s">
        <v>288</v>
      </c>
      <c r="B315" s="161"/>
      <c r="C315" s="161"/>
      <c r="D315" s="161"/>
      <c r="E315" s="161"/>
      <c r="F315" s="202"/>
      <c r="G315" s="202"/>
      <c r="H315" s="202"/>
      <c r="I315" s="202"/>
      <c r="J315" s="202"/>
    </row>
    <row r="316" spans="1:10" ht="15" customHeight="1" x14ac:dyDescent="0.2">
      <c r="A316" s="131" t="s">
        <v>300</v>
      </c>
      <c r="B316" s="131"/>
      <c r="C316" s="131"/>
      <c r="D316" s="132" t="s">
        <v>301</v>
      </c>
      <c r="E316" s="132" t="s">
        <v>302</v>
      </c>
      <c r="F316" s="131" t="s">
        <v>300</v>
      </c>
      <c r="G316" s="131"/>
      <c r="H316" s="131"/>
      <c r="I316" s="132" t="s">
        <v>301</v>
      </c>
      <c r="J316" s="132" t="s">
        <v>302</v>
      </c>
    </row>
    <row r="317" spans="1:10" ht="15" customHeight="1" x14ac:dyDescent="0.2">
      <c r="A317" s="134" t="str">
        <f>Establishment!D562</f>
        <v>Librarian</v>
      </c>
      <c r="B317" s="134"/>
      <c r="C317" s="134"/>
      <c r="D317" s="133" t="str">
        <f>Establishment!E562</f>
        <v>R22-16/17-13</v>
      </c>
      <c r="E317" s="133">
        <f>Establishment!C562</f>
        <v>1</v>
      </c>
      <c r="F317" s="134" t="str">
        <f>Establishment!D564</f>
        <v>Senior Clerical Officer/Library Assistant</v>
      </c>
      <c r="G317" s="134"/>
      <c r="H317" s="134"/>
      <c r="I317" s="133" t="str">
        <f>Establishment!E564</f>
        <v>R33-29</v>
      </c>
      <c r="J317" s="133">
        <f>Establishment!C564</f>
        <v>1</v>
      </c>
    </row>
    <row r="318" spans="1:10" ht="15" customHeight="1" x14ac:dyDescent="0.2">
      <c r="A318" s="134" t="str">
        <f>Establishment!D563</f>
        <v>Library Assistant (Snr)</v>
      </c>
      <c r="B318" s="134"/>
      <c r="C318" s="134"/>
      <c r="D318" s="133" t="str">
        <f>Establishment!E563</f>
        <v>R28-22</v>
      </c>
      <c r="E318" s="133">
        <f>Establishment!C563</f>
        <v>1</v>
      </c>
      <c r="F318" s="134" t="str">
        <f>Establishment!D565</f>
        <v>Clerical Officer</v>
      </c>
      <c r="G318" s="134"/>
      <c r="H318" s="134"/>
      <c r="I318" s="133" t="str">
        <f>Establishment!E565</f>
        <v>R46-34</v>
      </c>
      <c r="J318" s="133">
        <f>Establishment!C565</f>
        <v>1</v>
      </c>
    </row>
    <row r="319" spans="1:10" ht="15" customHeight="1" x14ac:dyDescent="0.2">
      <c r="A319" s="203" t="s">
        <v>303</v>
      </c>
      <c r="B319" s="203"/>
      <c r="C319" s="203"/>
      <c r="D319" s="203"/>
      <c r="E319" s="203"/>
      <c r="F319" s="203"/>
      <c r="G319" s="203"/>
      <c r="H319" s="203"/>
      <c r="I319" s="203"/>
      <c r="J319" s="204">
        <f>SUM(E316:E318,J316:J318)</f>
        <v>4</v>
      </c>
    </row>
    <row r="320" spans="1:10" x14ac:dyDescent="0.2">
      <c r="A320" s="129"/>
      <c r="B320" s="129"/>
      <c r="C320" s="129"/>
      <c r="D320" s="129"/>
      <c r="E320" s="129"/>
      <c r="F320" s="179"/>
      <c r="G320" s="179"/>
      <c r="H320" s="179"/>
      <c r="I320" s="179"/>
      <c r="J320" s="179"/>
    </row>
    <row r="321" spans="1:10" x14ac:dyDescent="0.2">
      <c r="A321" s="180" t="s">
        <v>304</v>
      </c>
      <c r="B321" s="180"/>
      <c r="C321" s="180"/>
      <c r="D321" s="180"/>
      <c r="E321" s="180"/>
      <c r="F321" s="180"/>
      <c r="G321" s="180"/>
      <c r="H321" s="180"/>
      <c r="I321" s="180"/>
      <c r="J321" s="180"/>
    </row>
    <row r="322" spans="1:10" x14ac:dyDescent="0.2">
      <c r="A322" s="181" t="s">
        <v>305</v>
      </c>
      <c r="B322" s="181"/>
      <c r="C322" s="181"/>
      <c r="D322" s="181"/>
      <c r="E322" s="181"/>
      <c r="F322" s="181"/>
      <c r="G322" s="181"/>
      <c r="H322" s="181"/>
      <c r="I322" s="181"/>
      <c r="J322" s="181"/>
    </row>
    <row r="323" spans="1:10" ht="23.25" customHeight="1" x14ac:dyDescent="0.2">
      <c r="A323" s="129" t="s">
        <v>1697</v>
      </c>
      <c r="B323" s="129"/>
      <c r="C323" s="129"/>
      <c r="D323" s="129"/>
      <c r="E323" s="129"/>
      <c r="F323" s="129"/>
      <c r="G323" s="129"/>
      <c r="H323" s="129"/>
      <c r="I323" s="129"/>
      <c r="J323" s="129"/>
    </row>
    <row r="324" spans="1:10" x14ac:dyDescent="0.2">
      <c r="A324" s="129" t="s">
        <v>1698</v>
      </c>
      <c r="B324" s="129"/>
      <c r="C324" s="129"/>
      <c r="D324" s="129"/>
      <c r="E324" s="129"/>
      <c r="F324" s="129"/>
      <c r="G324" s="129"/>
      <c r="H324" s="129"/>
      <c r="I324" s="129"/>
      <c r="J324" s="129"/>
    </row>
    <row r="325" spans="1:10" x14ac:dyDescent="0.2">
      <c r="A325" s="129" t="s">
        <v>1699</v>
      </c>
      <c r="B325" s="129"/>
      <c r="C325" s="129"/>
      <c r="D325" s="129"/>
      <c r="E325" s="129"/>
      <c r="F325" s="129"/>
      <c r="G325" s="129"/>
      <c r="H325" s="129"/>
      <c r="I325" s="129"/>
      <c r="J325" s="129"/>
    </row>
    <row r="326" spans="1:10" ht="24.75" customHeight="1" x14ac:dyDescent="0.2">
      <c r="A326" s="129" t="s">
        <v>1700</v>
      </c>
      <c r="B326" s="129"/>
      <c r="C326" s="129"/>
      <c r="D326" s="129"/>
      <c r="E326" s="129"/>
      <c r="F326" s="129"/>
      <c r="G326" s="129"/>
      <c r="H326" s="129"/>
      <c r="I326" s="129"/>
      <c r="J326" s="129"/>
    </row>
    <row r="327" spans="1:10" x14ac:dyDescent="0.2">
      <c r="A327" s="129"/>
      <c r="B327" s="129"/>
      <c r="C327" s="129"/>
      <c r="D327" s="129"/>
      <c r="E327" s="129"/>
      <c r="F327" s="129"/>
      <c r="G327" s="129"/>
      <c r="H327" s="129"/>
      <c r="I327" s="129"/>
      <c r="J327" s="129"/>
    </row>
    <row r="328" spans="1:10" x14ac:dyDescent="0.2">
      <c r="A328" s="183" t="s">
        <v>415</v>
      </c>
      <c r="B328" s="183"/>
      <c r="C328" s="183"/>
      <c r="D328" s="183"/>
      <c r="E328" s="183"/>
      <c r="F328" s="183"/>
      <c r="G328" s="183"/>
      <c r="H328" s="183"/>
      <c r="I328" s="183"/>
      <c r="J328" s="183"/>
    </row>
    <row r="329" spans="1:10" ht="33.75" customHeight="1" x14ac:dyDescent="0.2">
      <c r="A329" s="129" t="s">
        <v>1701</v>
      </c>
      <c r="B329" s="129"/>
      <c r="C329" s="129"/>
      <c r="D329" s="129"/>
      <c r="E329" s="129"/>
      <c r="F329" s="129"/>
      <c r="G329" s="129"/>
      <c r="H329" s="129"/>
      <c r="I329" s="129"/>
      <c r="J329" s="129"/>
    </row>
    <row r="330" spans="1:10" x14ac:dyDescent="0.2">
      <c r="A330" s="129"/>
      <c r="B330" s="129"/>
      <c r="C330" s="129"/>
      <c r="D330" s="129"/>
      <c r="E330" s="129"/>
      <c r="F330" s="129"/>
      <c r="G330" s="129"/>
      <c r="H330" s="129"/>
      <c r="I330" s="129"/>
      <c r="J330" s="129"/>
    </row>
    <row r="331" spans="1:10" ht="22.5" x14ac:dyDescent="0.2">
      <c r="A331" s="180" t="s">
        <v>315</v>
      </c>
      <c r="B331" s="180"/>
      <c r="C331" s="180"/>
      <c r="D331" s="180"/>
      <c r="E331" s="180"/>
      <c r="F331" s="184" t="str">
        <f>F136</f>
        <v xml:space="preserve"> Actual 2014-2015</v>
      </c>
      <c r="G331" s="184" t="str">
        <f>G136</f>
        <v xml:space="preserve"> Estimate 2015-2016</v>
      </c>
      <c r="H331" s="184" t="str">
        <f>H136</f>
        <v xml:space="preserve"> Target 2016-2017</v>
      </c>
      <c r="I331" s="184" t="str">
        <f>I136</f>
        <v xml:space="preserve"> Target 2017-2018</v>
      </c>
      <c r="J331" s="184" t="str">
        <f>J136</f>
        <v xml:space="preserve"> Target 2018-2019</v>
      </c>
    </row>
    <row r="332" spans="1:10" x14ac:dyDescent="0.2">
      <c r="A332" s="180" t="s">
        <v>316</v>
      </c>
      <c r="B332" s="180"/>
      <c r="C332" s="180"/>
      <c r="D332" s="180"/>
      <c r="E332" s="180"/>
      <c r="F332" s="180"/>
      <c r="G332" s="180"/>
      <c r="H332" s="180"/>
      <c r="I332" s="180"/>
      <c r="J332" s="180"/>
    </row>
    <row r="333" spans="1:10" x14ac:dyDescent="0.2">
      <c r="A333" s="296" t="s">
        <v>1702</v>
      </c>
      <c r="B333" s="296"/>
      <c r="C333" s="296"/>
      <c r="D333" s="296"/>
      <c r="E333" s="296"/>
      <c r="F333" s="272" t="s">
        <v>523</v>
      </c>
      <c r="G333" s="272" t="s">
        <v>523</v>
      </c>
      <c r="H333" s="272" t="s">
        <v>1703</v>
      </c>
      <c r="I333" s="272" t="s">
        <v>1704</v>
      </c>
      <c r="J333" s="272" t="s">
        <v>1705</v>
      </c>
    </row>
    <row r="334" spans="1:10" x14ac:dyDescent="0.2">
      <c r="A334" s="296" t="s">
        <v>1706</v>
      </c>
      <c r="B334" s="296"/>
      <c r="C334" s="296"/>
      <c r="D334" s="296"/>
      <c r="E334" s="296"/>
      <c r="F334" s="272">
        <v>5370</v>
      </c>
      <c r="G334" s="272">
        <v>5500</v>
      </c>
      <c r="H334" s="272">
        <v>6200</v>
      </c>
      <c r="I334" s="272">
        <v>6500</v>
      </c>
      <c r="J334" s="272">
        <v>6800</v>
      </c>
    </row>
    <row r="335" spans="1:10" x14ac:dyDescent="0.2">
      <c r="A335" s="188"/>
      <c r="B335" s="188"/>
      <c r="C335" s="188"/>
      <c r="D335" s="188"/>
      <c r="E335" s="188"/>
      <c r="F335" s="273"/>
      <c r="G335" s="190"/>
      <c r="H335" s="190"/>
      <c r="I335" s="190"/>
      <c r="J335" s="190"/>
    </row>
    <row r="336" spans="1:10" ht="24.75" customHeight="1" x14ac:dyDescent="0.2">
      <c r="A336" s="180" t="s">
        <v>324</v>
      </c>
      <c r="B336" s="180"/>
      <c r="C336" s="180"/>
      <c r="D336" s="180"/>
      <c r="E336" s="180"/>
      <c r="F336" s="180"/>
      <c r="G336" s="180"/>
      <c r="H336" s="180"/>
      <c r="I336" s="180"/>
      <c r="J336" s="180"/>
    </row>
    <row r="337" spans="1:10" x14ac:dyDescent="0.2">
      <c r="A337" s="296" t="s">
        <v>1707</v>
      </c>
      <c r="B337" s="296"/>
      <c r="C337" s="296"/>
      <c r="D337" s="296"/>
      <c r="E337" s="296"/>
      <c r="F337" s="272" t="s">
        <v>523</v>
      </c>
      <c r="G337" s="272" t="s">
        <v>523</v>
      </c>
      <c r="H337" s="272" t="s">
        <v>1524</v>
      </c>
      <c r="I337" s="272" t="s">
        <v>1524</v>
      </c>
      <c r="J337" s="272" t="s">
        <v>1708</v>
      </c>
    </row>
    <row r="338" spans="1:10" ht="15" customHeight="1" x14ac:dyDescent="0.2">
      <c r="A338" s="296" t="s">
        <v>1709</v>
      </c>
      <c r="B338" s="296"/>
      <c r="C338" s="296"/>
      <c r="D338" s="296"/>
      <c r="E338" s="296"/>
      <c r="F338" s="272">
        <v>41</v>
      </c>
      <c r="G338" s="272">
        <v>45</v>
      </c>
      <c r="H338" s="272">
        <v>48</v>
      </c>
      <c r="I338" s="272">
        <v>50</v>
      </c>
      <c r="J338" s="272">
        <v>52</v>
      </c>
    </row>
    <row r="339" spans="1:10" x14ac:dyDescent="0.2">
      <c r="A339" s="129"/>
      <c r="B339" s="129"/>
      <c r="C339" s="129"/>
      <c r="D339" s="129"/>
      <c r="E339" s="129"/>
      <c r="F339" s="129"/>
      <c r="G339" s="129"/>
      <c r="H339" s="129"/>
      <c r="I339" s="129"/>
      <c r="J339" s="129"/>
    </row>
    <row r="340" spans="1:10" x14ac:dyDescent="0.2">
      <c r="A340" s="150" t="s">
        <v>1710</v>
      </c>
      <c r="B340" s="150"/>
      <c r="C340" s="150"/>
      <c r="D340" s="150"/>
      <c r="E340" s="150"/>
      <c r="F340" s="150"/>
      <c r="G340" s="150"/>
      <c r="H340" s="150"/>
      <c r="I340" s="150"/>
      <c r="J340" s="150"/>
    </row>
    <row r="341" spans="1:10" x14ac:dyDescent="0.2">
      <c r="A341" s="389" t="s">
        <v>291</v>
      </c>
      <c r="B341" s="389"/>
      <c r="C341" s="389"/>
      <c r="D341" s="389"/>
      <c r="E341" s="389"/>
      <c r="F341" s="389"/>
      <c r="G341" s="389"/>
      <c r="H341" s="389"/>
      <c r="I341" s="389"/>
      <c r="J341" s="389"/>
    </row>
    <row r="342" spans="1:10" ht="15" customHeight="1" x14ac:dyDescent="0.2">
      <c r="A342" s="129" t="s">
        <v>1711</v>
      </c>
      <c r="B342" s="129"/>
      <c r="C342" s="129"/>
      <c r="D342" s="129"/>
      <c r="E342" s="129"/>
      <c r="F342" s="129"/>
      <c r="G342" s="129"/>
      <c r="H342" s="129"/>
      <c r="I342" s="129"/>
      <c r="J342" s="129"/>
    </row>
    <row r="343" spans="1:10" x14ac:dyDescent="0.2">
      <c r="A343" s="128" t="s">
        <v>293</v>
      </c>
      <c r="B343" s="128"/>
      <c r="C343" s="128"/>
      <c r="D343" s="128"/>
      <c r="E343" s="128"/>
      <c r="F343" s="128"/>
      <c r="G343" s="128"/>
      <c r="H343" s="128"/>
      <c r="I343" s="128"/>
      <c r="J343" s="128"/>
    </row>
    <row r="344" spans="1:10" ht="33.75" x14ac:dyDescent="0.2">
      <c r="A344" s="152" t="s">
        <v>243</v>
      </c>
      <c r="B344" s="151" t="s">
        <v>242</v>
      </c>
      <c r="C344" s="151"/>
      <c r="D344" s="151"/>
      <c r="E344" s="132" t="str">
        <f t="shared" ref="E344:J344" si="59">E26</f>
        <v>Actuals           2014-2015</v>
      </c>
      <c r="F344" s="132" t="str">
        <f t="shared" si="59"/>
        <v>Approved Estimates          2015-2016</v>
      </c>
      <c r="G344" s="132" t="str">
        <f t="shared" si="59"/>
        <v>Revised Estimates                 2015-2016</v>
      </c>
      <c r="H344" s="132" t="str">
        <f t="shared" si="59"/>
        <v>Budget Estimates      2016-2017</v>
      </c>
      <c r="I344" s="132" t="str">
        <f t="shared" si="59"/>
        <v>Forward Estimates     2017-2018</v>
      </c>
      <c r="J344" s="132" t="str">
        <f t="shared" si="59"/>
        <v>Forward Estimates     2018-2019</v>
      </c>
    </row>
    <row r="345" spans="1:10" x14ac:dyDescent="0.2">
      <c r="A345" s="207"/>
      <c r="B345" s="129"/>
      <c r="C345" s="129"/>
      <c r="D345" s="129"/>
      <c r="E345" s="211"/>
      <c r="F345" s="209"/>
      <c r="G345" s="211"/>
      <c r="H345" s="210"/>
      <c r="I345" s="211"/>
      <c r="J345" s="211"/>
    </row>
    <row r="346" spans="1:10" x14ac:dyDescent="0.2">
      <c r="A346" s="137" t="s">
        <v>1605</v>
      </c>
      <c r="B346" s="137"/>
      <c r="C346" s="137"/>
      <c r="D346" s="137"/>
      <c r="E346" s="138">
        <f t="shared" ref="E346:J346" si="60">SUM(E345:E345)</f>
        <v>0</v>
      </c>
      <c r="F346" s="138">
        <f t="shared" si="60"/>
        <v>0</v>
      </c>
      <c r="G346" s="138">
        <f t="shared" si="60"/>
        <v>0</v>
      </c>
      <c r="H346" s="138">
        <f t="shared" si="60"/>
        <v>0</v>
      </c>
      <c r="I346" s="138">
        <f t="shared" si="60"/>
        <v>0</v>
      </c>
      <c r="J346" s="138">
        <f t="shared" si="60"/>
        <v>0</v>
      </c>
    </row>
    <row r="347" spans="1:10" ht="15" customHeight="1" x14ac:dyDescent="0.2">
      <c r="A347" s="129"/>
      <c r="B347" s="129"/>
      <c r="C347" s="129"/>
      <c r="D347" s="129"/>
      <c r="E347" s="129"/>
      <c r="F347" s="129"/>
      <c r="G347" s="129"/>
      <c r="H347" s="129"/>
      <c r="I347" s="129"/>
      <c r="J347" s="129"/>
    </row>
    <row r="348" spans="1:10" ht="15" customHeight="1" x14ac:dyDescent="0.2">
      <c r="A348" s="128" t="s">
        <v>284</v>
      </c>
      <c r="B348" s="128"/>
      <c r="C348" s="128"/>
      <c r="D348" s="128"/>
      <c r="E348" s="128"/>
      <c r="F348" s="128"/>
      <c r="G348" s="128"/>
      <c r="H348" s="128"/>
      <c r="I348" s="128"/>
      <c r="J348" s="128"/>
    </row>
    <row r="349" spans="1:10" ht="33.75" x14ac:dyDescent="0.2">
      <c r="A349" s="152" t="s">
        <v>243</v>
      </c>
      <c r="B349" s="151" t="s">
        <v>242</v>
      </c>
      <c r="C349" s="151"/>
      <c r="D349" s="151"/>
      <c r="E349" s="132" t="str">
        <f t="shared" ref="E349:J349" si="61">E26</f>
        <v>Actuals           2014-2015</v>
      </c>
      <c r="F349" s="132" t="str">
        <f t="shared" si="61"/>
        <v>Approved Estimates          2015-2016</v>
      </c>
      <c r="G349" s="132" t="str">
        <f t="shared" si="61"/>
        <v>Revised Estimates                 2015-2016</v>
      </c>
      <c r="H349" s="132" t="str">
        <f t="shared" si="61"/>
        <v>Budget Estimates      2016-2017</v>
      </c>
      <c r="I349" s="132" t="str">
        <f t="shared" si="61"/>
        <v>Forward Estimates     2017-2018</v>
      </c>
      <c r="J349" s="132" t="str">
        <f t="shared" si="61"/>
        <v>Forward Estimates     2018-2019</v>
      </c>
    </row>
    <row r="350" spans="1:10" ht="15" customHeight="1" x14ac:dyDescent="0.2">
      <c r="A350" s="151" t="s">
        <v>7</v>
      </c>
      <c r="B350" s="151"/>
      <c r="C350" s="151"/>
      <c r="D350" s="151"/>
      <c r="E350" s="151"/>
      <c r="F350" s="151"/>
      <c r="G350" s="151"/>
      <c r="H350" s="151"/>
      <c r="I350" s="151"/>
      <c r="J350" s="190"/>
    </row>
    <row r="351" spans="1:10" x14ac:dyDescent="0.2">
      <c r="A351" s="207">
        <v>210</v>
      </c>
      <c r="B351" s="129" t="s">
        <v>7</v>
      </c>
      <c r="C351" s="129"/>
      <c r="D351" s="129"/>
      <c r="E351" s="211">
        <v>696282</v>
      </c>
      <c r="F351" s="209">
        <v>733900</v>
      </c>
      <c r="G351" s="211">
        <v>751900</v>
      </c>
      <c r="H351" s="210">
        <v>754500</v>
      </c>
      <c r="I351" s="211">
        <v>766600</v>
      </c>
      <c r="J351" s="211">
        <v>776300</v>
      </c>
    </row>
    <row r="352" spans="1:10" x14ac:dyDescent="0.2">
      <c r="A352" s="207">
        <v>212</v>
      </c>
      <c r="B352" s="129" t="s">
        <v>9</v>
      </c>
      <c r="C352" s="129"/>
      <c r="D352" s="129"/>
      <c r="E352" s="211">
        <v>0</v>
      </c>
      <c r="F352" s="209">
        <v>0</v>
      </c>
      <c r="G352" s="211">
        <v>0</v>
      </c>
      <c r="H352" s="210">
        <v>0</v>
      </c>
      <c r="I352" s="211">
        <v>0</v>
      </c>
      <c r="J352" s="211">
        <v>0</v>
      </c>
    </row>
    <row r="353" spans="1:10" x14ac:dyDescent="0.2">
      <c r="A353" s="207">
        <v>216</v>
      </c>
      <c r="B353" s="129" t="s">
        <v>10</v>
      </c>
      <c r="C353" s="129"/>
      <c r="D353" s="129"/>
      <c r="E353" s="211">
        <v>3300</v>
      </c>
      <c r="F353" s="209">
        <v>4400</v>
      </c>
      <c r="G353" s="211">
        <v>4400</v>
      </c>
      <c r="H353" s="210">
        <v>4400</v>
      </c>
      <c r="I353" s="211">
        <v>4400</v>
      </c>
      <c r="J353" s="211">
        <v>4400</v>
      </c>
    </row>
    <row r="354" spans="1:10" x14ac:dyDescent="0.2">
      <c r="A354" s="207">
        <v>218</v>
      </c>
      <c r="B354" s="129" t="s">
        <v>294</v>
      </c>
      <c r="C354" s="129"/>
      <c r="D354" s="129"/>
      <c r="E354" s="211">
        <v>0</v>
      </c>
      <c r="F354" s="209">
        <v>0</v>
      </c>
      <c r="G354" s="211">
        <v>0</v>
      </c>
      <c r="H354" s="210">
        <v>0</v>
      </c>
      <c r="I354" s="211">
        <v>0</v>
      </c>
      <c r="J354" s="211">
        <v>0</v>
      </c>
    </row>
    <row r="355" spans="1:10" ht="15" customHeight="1" x14ac:dyDescent="0.2">
      <c r="A355" s="156" t="s">
        <v>295</v>
      </c>
      <c r="B355" s="156"/>
      <c r="C355" s="156"/>
      <c r="D355" s="156"/>
      <c r="E355" s="157">
        <f t="shared" ref="E355:J355" si="62">SUM(E351:E354)</f>
        <v>699582</v>
      </c>
      <c r="F355" s="157">
        <f t="shared" si="62"/>
        <v>738300</v>
      </c>
      <c r="G355" s="157">
        <f t="shared" si="62"/>
        <v>756300</v>
      </c>
      <c r="H355" s="157">
        <f t="shared" si="62"/>
        <v>758900</v>
      </c>
      <c r="I355" s="157">
        <f t="shared" si="62"/>
        <v>771000</v>
      </c>
      <c r="J355" s="157">
        <f t="shared" si="62"/>
        <v>780700</v>
      </c>
    </row>
    <row r="356" spans="1:10" ht="15" customHeight="1" x14ac:dyDescent="0.2">
      <c r="A356" s="156" t="s">
        <v>296</v>
      </c>
      <c r="B356" s="156"/>
      <c r="C356" s="156"/>
      <c r="D356" s="156"/>
      <c r="E356" s="156"/>
      <c r="F356" s="156"/>
      <c r="G356" s="156"/>
      <c r="H356" s="156"/>
      <c r="I356" s="156"/>
      <c r="J356" s="190"/>
    </row>
    <row r="357" spans="1:10" x14ac:dyDescent="0.2">
      <c r="A357" s="207">
        <v>224</v>
      </c>
      <c r="B357" s="129" t="s">
        <v>206</v>
      </c>
      <c r="C357" s="129"/>
      <c r="D357" s="129"/>
      <c r="E357" s="211">
        <v>20014.04</v>
      </c>
      <c r="F357" s="211">
        <v>30000</v>
      </c>
      <c r="G357" s="211">
        <v>30000</v>
      </c>
      <c r="H357" s="210">
        <v>25000</v>
      </c>
      <c r="I357" s="211">
        <v>25000</v>
      </c>
      <c r="J357" s="211">
        <v>25000</v>
      </c>
    </row>
    <row r="358" spans="1:10" x14ac:dyDescent="0.2">
      <c r="A358" s="207">
        <v>226</v>
      </c>
      <c r="B358" s="129" t="s">
        <v>207</v>
      </c>
      <c r="C358" s="129"/>
      <c r="D358" s="129"/>
      <c r="E358" s="211">
        <v>5746.23</v>
      </c>
      <c r="F358" s="211">
        <v>8400</v>
      </c>
      <c r="G358" s="211">
        <v>8400</v>
      </c>
      <c r="H358" s="210">
        <v>8400</v>
      </c>
      <c r="I358" s="211">
        <v>8400</v>
      </c>
      <c r="J358" s="211">
        <v>8400</v>
      </c>
    </row>
    <row r="359" spans="1:10" x14ac:dyDescent="0.2">
      <c r="A359" s="207">
        <v>228</v>
      </c>
      <c r="B359" s="129" t="s">
        <v>208</v>
      </c>
      <c r="C359" s="129"/>
      <c r="D359" s="129"/>
      <c r="E359" s="211">
        <v>31956.7</v>
      </c>
      <c r="F359" s="211">
        <v>25000</v>
      </c>
      <c r="G359" s="211">
        <v>25000</v>
      </c>
      <c r="H359" s="210">
        <v>25000</v>
      </c>
      <c r="I359" s="211">
        <v>25000</v>
      </c>
      <c r="J359" s="211">
        <v>25000</v>
      </c>
    </row>
    <row r="360" spans="1:10" x14ac:dyDescent="0.2">
      <c r="A360" s="207">
        <v>229</v>
      </c>
      <c r="B360" s="129" t="s">
        <v>209</v>
      </c>
      <c r="C360" s="129"/>
      <c r="D360" s="129"/>
      <c r="E360" s="211">
        <v>10780</v>
      </c>
      <c r="F360" s="211">
        <v>22000</v>
      </c>
      <c r="G360" s="211">
        <v>22000</v>
      </c>
      <c r="H360" s="210">
        <f>22000+3000</f>
        <v>25000</v>
      </c>
      <c r="I360" s="211">
        <f t="shared" ref="I360:J360" si="63">22000+3000</f>
        <v>25000</v>
      </c>
      <c r="J360" s="211">
        <f t="shared" si="63"/>
        <v>25000</v>
      </c>
    </row>
    <row r="361" spans="1:10" x14ac:dyDescent="0.2">
      <c r="A361" s="207">
        <v>232</v>
      </c>
      <c r="B361" s="129" t="s">
        <v>211</v>
      </c>
      <c r="C361" s="129"/>
      <c r="D361" s="129"/>
      <c r="E361" s="211">
        <v>19949.05</v>
      </c>
      <c r="F361" s="211">
        <v>20000</v>
      </c>
      <c r="G361" s="211">
        <v>20000</v>
      </c>
      <c r="H361" s="210">
        <v>20000</v>
      </c>
      <c r="I361" s="211">
        <v>20000</v>
      </c>
      <c r="J361" s="211">
        <v>20000</v>
      </c>
    </row>
    <row r="362" spans="1:10" x14ac:dyDescent="0.2">
      <c r="A362" s="207">
        <v>266</v>
      </c>
      <c r="B362" s="129" t="s">
        <v>223</v>
      </c>
      <c r="C362" s="129"/>
      <c r="D362" s="129"/>
      <c r="E362" s="211">
        <v>24812.76</v>
      </c>
      <c r="F362" s="211">
        <v>25000</v>
      </c>
      <c r="G362" s="211">
        <v>25000</v>
      </c>
      <c r="H362" s="210">
        <v>25000</v>
      </c>
      <c r="I362" s="211">
        <v>25000</v>
      </c>
      <c r="J362" s="211">
        <v>25000</v>
      </c>
    </row>
    <row r="363" spans="1:10" x14ac:dyDescent="0.2">
      <c r="A363" s="207">
        <v>275</v>
      </c>
      <c r="B363" s="129" t="s">
        <v>228</v>
      </c>
      <c r="C363" s="129"/>
      <c r="D363" s="129"/>
      <c r="E363" s="211">
        <v>1888.62</v>
      </c>
      <c r="F363" s="211">
        <v>2500</v>
      </c>
      <c r="G363" s="211">
        <v>2500</v>
      </c>
      <c r="H363" s="210">
        <v>2500</v>
      </c>
      <c r="I363" s="211">
        <v>2500</v>
      </c>
      <c r="J363" s="211">
        <v>2500</v>
      </c>
    </row>
    <row r="364" spans="1:10" x14ac:dyDescent="0.2">
      <c r="A364" s="156" t="s">
        <v>298</v>
      </c>
      <c r="B364" s="156"/>
      <c r="C364" s="156"/>
      <c r="D364" s="156"/>
      <c r="E364" s="157">
        <f t="shared" ref="E364:J364" si="64">SUM(E357:E363)</f>
        <v>115147.4</v>
      </c>
      <c r="F364" s="264">
        <f t="shared" si="64"/>
        <v>132900</v>
      </c>
      <c r="G364" s="157">
        <f t="shared" si="64"/>
        <v>132900</v>
      </c>
      <c r="H364" s="157">
        <f t="shared" si="64"/>
        <v>130900</v>
      </c>
      <c r="I364" s="157">
        <f t="shared" si="64"/>
        <v>130900</v>
      </c>
      <c r="J364" s="157">
        <f t="shared" si="64"/>
        <v>130900</v>
      </c>
    </row>
    <row r="365" spans="1:10" x14ac:dyDescent="0.2">
      <c r="A365" s="159" t="s">
        <v>299</v>
      </c>
      <c r="B365" s="159"/>
      <c r="C365" s="159"/>
      <c r="D365" s="159"/>
      <c r="E365" s="160">
        <f t="shared" ref="E365:J365" si="65">SUM(E355,E364)</f>
        <v>814729.4</v>
      </c>
      <c r="F365" s="160">
        <f t="shared" si="65"/>
        <v>871200</v>
      </c>
      <c r="G365" s="160">
        <f t="shared" si="65"/>
        <v>889200</v>
      </c>
      <c r="H365" s="160">
        <f t="shared" si="65"/>
        <v>889800</v>
      </c>
      <c r="I365" s="160">
        <f t="shared" si="65"/>
        <v>901900</v>
      </c>
      <c r="J365" s="160">
        <f t="shared" si="65"/>
        <v>911600</v>
      </c>
    </row>
    <row r="366" spans="1:10" ht="15" customHeight="1" x14ac:dyDescent="0.2">
      <c r="A366" s="162" t="s">
        <v>15</v>
      </c>
      <c r="B366" s="162"/>
      <c r="C366" s="162"/>
      <c r="D366" s="162"/>
      <c r="E366" s="162"/>
      <c r="F366" s="162"/>
      <c r="G366" s="162"/>
      <c r="H366" s="162"/>
      <c r="I366" s="162"/>
      <c r="J366" s="162"/>
    </row>
    <row r="367" spans="1:10" ht="21" customHeight="1" x14ac:dyDescent="0.2">
      <c r="A367" s="131" t="s">
        <v>242</v>
      </c>
      <c r="B367" s="131"/>
      <c r="C367" s="131"/>
      <c r="D367" s="131"/>
      <c r="E367" s="128" t="str">
        <f t="shared" ref="E367:J367" si="66">E26</f>
        <v>Actuals           2014-2015</v>
      </c>
      <c r="F367" s="128" t="str">
        <f t="shared" si="66"/>
        <v>Approved Estimates          2015-2016</v>
      </c>
      <c r="G367" s="128" t="str">
        <f t="shared" si="66"/>
        <v>Revised Estimates                 2015-2016</v>
      </c>
      <c r="H367" s="128" t="str">
        <f t="shared" si="66"/>
        <v>Budget Estimates      2016-2017</v>
      </c>
      <c r="I367" s="128" t="str">
        <f t="shared" si="66"/>
        <v>Forward Estimates     2017-2018</v>
      </c>
      <c r="J367" s="128" t="str">
        <f t="shared" si="66"/>
        <v>Forward Estimates     2018-2019</v>
      </c>
    </row>
    <row r="368" spans="1:10" ht="15" customHeight="1" x14ac:dyDescent="0.2">
      <c r="A368" s="130" t="s">
        <v>243</v>
      </c>
      <c r="B368" s="130" t="s">
        <v>244</v>
      </c>
      <c r="C368" s="131" t="s">
        <v>245</v>
      </c>
      <c r="D368" s="131"/>
      <c r="E368" s="101"/>
      <c r="F368" s="101"/>
      <c r="G368" s="101"/>
      <c r="H368" s="101"/>
      <c r="I368" s="101"/>
      <c r="J368" s="101"/>
    </row>
    <row r="369" spans="1:10" x14ac:dyDescent="0.2">
      <c r="A369" s="163"/>
      <c r="B369" s="163"/>
      <c r="C369" s="156"/>
      <c r="D369" s="156"/>
      <c r="E369" s="158"/>
      <c r="F369" s="209"/>
      <c r="G369" s="158"/>
      <c r="H369" s="136"/>
      <c r="I369" s="158"/>
      <c r="J369" s="135"/>
    </row>
    <row r="370" spans="1:10" ht="15" customHeight="1" x14ac:dyDescent="0.2">
      <c r="A370" s="163"/>
      <c r="B370" s="163"/>
      <c r="C370" s="156"/>
      <c r="D370" s="156"/>
      <c r="E370" s="158"/>
      <c r="F370" s="209"/>
      <c r="G370" s="158"/>
      <c r="H370" s="136"/>
      <c r="I370" s="158"/>
      <c r="J370" s="135"/>
    </row>
    <row r="371" spans="1:10" x14ac:dyDescent="0.2">
      <c r="A371" s="137" t="s">
        <v>15</v>
      </c>
      <c r="B371" s="137"/>
      <c r="C371" s="137"/>
      <c r="D371" s="137"/>
      <c r="E371" s="138">
        <v>0</v>
      </c>
      <c r="F371" s="138">
        <v>0</v>
      </c>
      <c r="G371" s="138">
        <v>0</v>
      </c>
      <c r="H371" s="138">
        <v>0</v>
      </c>
      <c r="I371" s="138">
        <v>0</v>
      </c>
      <c r="J371" s="138">
        <v>0</v>
      </c>
    </row>
    <row r="372" spans="1:10" ht="15" customHeight="1" x14ac:dyDescent="0.2">
      <c r="A372" s="290"/>
      <c r="B372" s="290"/>
      <c r="C372" s="290"/>
      <c r="D372" s="290"/>
      <c r="E372" s="290"/>
      <c r="F372" s="290"/>
      <c r="G372" s="290"/>
      <c r="H372" s="290"/>
      <c r="I372" s="290"/>
      <c r="J372" s="290"/>
    </row>
    <row r="373" spans="1:10" ht="15" customHeight="1" x14ac:dyDescent="0.2">
      <c r="A373" s="161" t="s">
        <v>288</v>
      </c>
      <c r="B373" s="161"/>
      <c r="C373" s="161"/>
      <c r="D373" s="161"/>
      <c r="E373" s="161"/>
      <c r="F373" s="202"/>
      <c r="G373" s="202"/>
      <c r="H373" s="202"/>
      <c r="I373" s="202"/>
      <c r="J373" s="202"/>
    </row>
    <row r="374" spans="1:10" ht="15" customHeight="1" x14ac:dyDescent="0.2">
      <c r="A374" s="131" t="s">
        <v>300</v>
      </c>
      <c r="B374" s="131"/>
      <c r="C374" s="131"/>
      <c r="D374" s="132" t="s">
        <v>301</v>
      </c>
      <c r="E374" s="132" t="s">
        <v>302</v>
      </c>
      <c r="F374" s="131" t="s">
        <v>300</v>
      </c>
      <c r="G374" s="131"/>
      <c r="H374" s="131"/>
      <c r="I374" s="132" t="s">
        <v>301</v>
      </c>
      <c r="J374" s="132" t="s">
        <v>302</v>
      </c>
    </row>
    <row r="375" spans="1:10" ht="15" customHeight="1" x14ac:dyDescent="0.2">
      <c r="A375" s="134" t="str">
        <f>Establishment!D569</f>
        <v>Nursery Head</v>
      </c>
      <c r="B375" s="134"/>
      <c r="C375" s="134"/>
      <c r="D375" s="133" t="str">
        <f>Establishment!E569</f>
        <v>R28-22/22-16</v>
      </c>
      <c r="E375" s="133">
        <f>Establishment!C569</f>
        <v>3</v>
      </c>
      <c r="F375" s="134" t="str">
        <f>Establishment!D573</f>
        <v>Helper</v>
      </c>
      <c r="G375" s="134"/>
      <c r="H375" s="134"/>
      <c r="I375" s="133" t="str">
        <f>Establishment!E573</f>
        <v>R46-36</v>
      </c>
      <c r="J375" s="133">
        <f>Establishment!C573</f>
        <v>2</v>
      </c>
    </row>
    <row r="376" spans="1:10" ht="15" customHeight="1" x14ac:dyDescent="0.2">
      <c r="A376" s="134" t="str">
        <f>Establishment!D570</f>
        <v>Nursery Nurse (Snr)</v>
      </c>
      <c r="B376" s="134"/>
      <c r="C376" s="134"/>
      <c r="D376" s="133" t="str">
        <f>Establishment!E570</f>
        <v>R33-29</v>
      </c>
      <c r="E376" s="133">
        <f>Establishment!C570</f>
        <v>2</v>
      </c>
      <c r="F376" s="134" t="str">
        <f>Establishment!D574</f>
        <v>Cook Helper</v>
      </c>
      <c r="G376" s="134"/>
      <c r="H376" s="134"/>
      <c r="I376" s="133" t="str">
        <f>Establishment!E574</f>
        <v>R46-36</v>
      </c>
      <c r="J376" s="133">
        <f>Establishment!C574</f>
        <v>1</v>
      </c>
    </row>
    <row r="377" spans="1:10" ht="15" customHeight="1" x14ac:dyDescent="0.2">
      <c r="A377" s="134" t="str">
        <f>Establishment!D571</f>
        <v>Nursery Nurse</v>
      </c>
      <c r="B377" s="134"/>
      <c r="C377" s="134"/>
      <c r="D377" s="133" t="str">
        <f>Establishment!E571</f>
        <v>R38-36/34</v>
      </c>
      <c r="E377" s="133">
        <f>Establishment!C571</f>
        <v>3</v>
      </c>
      <c r="F377" s="134" t="str">
        <f>Establishment!D575</f>
        <v>Nursery Cook</v>
      </c>
      <c r="G377" s="134"/>
      <c r="H377" s="134"/>
      <c r="I377" s="133" t="str">
        <f>Establishment!E575</f>
        <v>R51-45</v>
      </c>
      <c r="J377" s="133">
        <f>Establishment!C575</f>
        <v>3</v>
      </c>
    </row>
    <row r="378" spans="1:10" ht="15" customHeight="1" x14ac:dyDescent="0.2">
      <c r="A378" s="134" t="str">
        <f>Establishment!D572</f>
        <v>Nursery Teacher</v>
      </c>
      <c r="B378" s="134"/>
      <c r="C378" s="134"/>
      <c r="D378" s="133" t="str">
        <f>Establishment!E572</f>
        <v>R46-36</v>
      </c>
      <c r="E378" s="133">
        <f>Establishment!C572</f>
        <v>12</v>
      </c>
      <c r="F378" s="134"/>
      <c r="G378" s="134"/>
      <c r="H378" s="134"/>
      <c r="I378" s="133"/>
      <c r="J378" s="133"/>
    </row>
    <row r="379" spans="1:10" ht="15" customHeight="1" x14ac:dyDescent="0.2">
      <c r="A379" s="203" t="s">
        <v>303</v>
      </c>
      <c r="B379" s="203"/>
      <c r="C379" s="203"/>
      <c r="D379" s="203"/>
      <c r="E379" s="203"/>
      <c r="F379" s="203"/>
      <c r="G379" s="203"/>
      <c r="H379" s="203"/>
      <c r="I379" s="203"/>
      <c r="J379" s="204">
        <f>SUM(E375:E378,J375:J378)</f>
        <v>26</v>
      </c>
    </row>
    <row r="380" spans="1:10" x14ac:dyDescent="0.2">
      <c r="A380" s="129"/>
      <c r="B380" s="129"/>
      <c r="C380" s="129"/>
      <c r="D380" s="129"/>
      <c r="E380" s="129"/>
      <c r="F380" s="179"/>
      <c r="G380" s="179"/>
      <c r="H380" s="179"/>
      <c r="I380" s="179"/>
      <c r="J380" s="179"/>
    </row>
    <row r="381" spans="1:10" x14ac:dyDescent="0.2">
      <c r="A381" s="180" t="s">
        <v>304</v>
      </c>
      <c r="B381" s="180"/>
      <c r="C381" s="180"/>
      <c r="D381" s="180"/>
      <c r="E381" s="180"/>
      <c r="F381" s="180"/>
      <c r="G381" s="180"/>
      <c r="H381" s="180"/>
      <c r="I381" s="180"/>
      <c r="J381" s="180"/>
    </row>
    <row r="382" spans="1:10" x14ac:dyDescent="0.2">
      <c r="A382" s="181" t="s">
        <v>305</v>
      </c>
      <c r="B382" s="181"/>
      <c r="C382" s="181"/>
      <c r="D382" s="181"/>
      <c r="E382" s="181"/>
      <c r="F382" s="181"/>
      <c r="G382" s="181"/>
      <c r="H382" s="181"/>
      <c r="I382" s="181"/>
      <c r="J382" s="181"/>
    </row>
    <row r="383" spans="1:10" x14ac:dyDescent="0.2">
      <c r="A383" s="129" t="s">
        <v>1712</v>
      </c>
      <c r="B383" s="129"/>
      <c r="C383" s="129"/>
      <c r="D383" s="129"/>
      <c r="E383" s="129"/>
      <c r="F383" s="129"/>
      <c r="G383" s="129"/>
      <c r="H383" s="129"/>
      <c r="I383" s="129"/>
      <c r="J383" s="129"/>
    </row>
    <row r="384" spans="1:10" ht="15" customHeight="1" x14ac:dyDescent="0.2">
      <c r="A384" s="129" t="s">
        <v>1713</v>
      </c>
      <c r="B384" s="129"/>
      <c r="C384" s="129"/>
      <c r="D384" s="129"/>
      <c r="E384" s="129"/>
      <c r="F384" s="129"/>
      <c r="G384" s="129"/>
      <c r="H384" s="129"/>
      <c r="I384" s="129"/>
      <c r="J384" s="129"/>
    </row>
    <row r="385" spans="1:10" x14ac:dyDescent="0.2">
      <c r="A385" s="129" t="s">
        <v>1714</v>
      </c>
      <c r="B385" s="129"/>
      <c r="C385" s="129"/>
      <c r="D385" s="129"/>
      <c r="E385" s="129"/>
      <c r="F385" s="129"/>
      <c r="G385" s="129"/>
      <c r="H385" s="129"/>
      <c r="I385" s="129"/>
      <c r="J385" s="129"/>
    </row>
    <row r="386" spans="1:10" x14ac:dyDescent="0.2">
      <c r="A386" s="129"/>
      <c r="B386" s="129"/>
      <c r="C386" s="129"/>
      <c r="D386" s="129"/>
      <c r="E386" s="129"/>
      <c r="F386" s="129"/>
      <c r="G386" s="129"/>
      <c r="H386" s="129"/>
      <c r="I386" s="129"/>
      <c r="J386" s="129"/>
    </row>
    <row r="387" spans="1:10" x14ac:dyDescent="0.2">
      <c r="A387" s="183" t="s">
        <v>415</v>
      </c>
      <c r="B387" s="183"/>
      <c r="C387" s="183"/>
      <c r="D387" s="183"/>
      <c r="E387" s="183"/>
      <c r="F387" s="183"/>
      <c r="G387" s="183"/>
      <c r="H387" s="183"/>
      <c r="I387" s="183"/>
      <c r="J387" s="183"/>
    </row>
    <row r="388" spans="1:10" ht="15" customHeight="1" x14ac:dyDescent="0.2">
      <c r="A388" s="129"/>
      <c r="B388" s="129"/>
      <c r="C388" s="129"/>
      <c r="D388" s="129"/>
      <c r="E388" s="129"/>
      <c r="F388" s="129"/>
      <c r="G388" s="129"/>
      <c r="H388" s="129"/>
      <c r="I388" s="129"/>
      <c r="J388" s="129"/>
    </row>
    <row r="389" spans="1:10" ht="15" customHeight="1" x14ac:dyDescent="0.2">
      <c r="A389" s="129"/>
      <c r="B389" s="129"/>
      <c r="C389" s="129"/>
      <c r="D389" s="129"/>
      <c r="E389" s="129"/>
      <c r="F389" s="129"/>
      <c r="G389" s="129"/>
      <c r="H389" s="129"/>
      <c r="I389" s="129"/>
      <c r="J389" s="129"/>
    </row>
    <row r="390" spans="1:10" x14ac:dyDescent="0.2">
      <c r="A390" s="129"/>
      <c r="B390" s="129"/>
      <c r="C390" s="129"/>
      <c r="D390" s="129"/>
      <c r="E390" s="129"/>
      <c r="F390" s="129"/>
      <c r="G390" s="129"/>
      <c r="H390" s="129"/>
      <c r="I390" s="129"/>
      <c r="J390" s="129"/>
    </row>
    <row r="391" spans="1:10" ht="22.5" x14ac:dyDescent="0.2">
      <c r="A391" s="180" t="s">
        <v>315</v>
      </c>
      <c r="B391" s="180"/>
      <c r="C391" s="180"/>
      <c r="D391" s="180"/>
      <c r="E391" s="180"/>
      <c r="F391" s="184" t="str">
        <f>F136</f>
        <v xml:space="preserve"> Actual 2014-2015</v>
      </c>
      <c r="G391" s="184" t="str">
        <f>G136</f>
        <v xml:space="preserve"> Estimate 2015-2016</v>
      </c>
      <c r="H391" s="184" t="str">
        <f>H136</f>
        <v xml:space="preserve"> Target 2016-2017</v>
      </c>
      <c r="I391" s="184" t="str">
        <f>I136</f>
        <v xml:space="preserve"> Target 2017-2018</v>
      </c>
      <c r="J391" s="184" t="str">
        <f>J136</f>
        <v xml:space="preserve"> Target 2018-2019</v>
      </c>
    </row>
    <row r="392" spans="1:10" x14ac:dyDescent="0.2">
      <c r="A392" s="180" t="s">
        <v>316</v>
      </c>
      <c r="B392" s="180"/>
      <c r="C392" s="180"/>
      <c r="D392" s="180"/>
      <c r="E392" s="180"/>
      <c r="F392" s="180"/>
      <c r="G392" s="180"/>
      <c r="H392" s="180"/>
      <c r="I392" s="180"/>
      <c r="J392" s="180"/>
    </row>
    <row r="393" spans="1:10" ht="67.5" x14ac:dyDescent="0.2">
      <c r="A393" s="188" t="s">
        <v>1715</v>
      </c>
      <c r="B393" s="188"/>
      <c r="C393" s="188"/>
      <c r="D393" s="188"/>
      <c r="E393" s="188"/>
      <c r="F393" s="286" t="s">
        <v>1716</v>
      </c>
      <c r="G393" s="261" t="s">
        <v>1717</v>
      </c>
      <c r="H393" s="261" t="s">
        <v>1718</v>
      </c>
      <c r="I393" s="261" t="s">
        <v>1719</v>
      </c>
      <c r="J393" s="261" t="s">
        <v>1720</v>
      </c>
    </row>
    <row r="394" spans="1:10" ht="22.5" x14ac:dyDescent="0.2">
      <c r="A394" s="188" t="s">
        <v>1721</v>
      </c>
      <c r="B394" s="188"/>
      <c r="C394" s="188"/>
      <c r="D394" s="188"/>
      <c r="E394" s="188"/>
      <c r="F394" s="286" t="s">
        <v>1722</v>
      </c>
      <c r="G394" s="261" t="s">
        <v>1723</v>
      </c>
      <c r="H394" s="261" t="s">
        <v>1724</v>
      </c>
      <c r="I394" s="261" t="s">
        <v>1725</v>
      </c>
      <c r="J394" s="261" t="s">
        <v>1726</v>
      </c>
    </row>
    <row r="395" spans="1:10" x14ac:dyDescent="0.2">
      <c r="A395" s="188"/>
      <c r="B395" s="188"/>
      <c r="C395" s="188"/>
      <c r="D395" s="188"/>
      <c r="E395" s="188"/>
      <c r="F395" s="273"/>
      <c r="G395" s="190"/>
      <c r="H395" s="190"/>
      <c r="I395" s="190"/>
      <c r="J395" s="190"/>
    </row>
    <row r="396" spans="1:10" ht="23.25" customHeight="1" x14ac:dyDescent="0.2">
      <c r="A396" s="180" t="s">
        <v>324</v>
      </c>
      <c r="B396" s="180"/>
      <c r="C396" s="180"/>
      <c r="D396" s="180"/>
      <c r="E396" s="180"/>
      <c r="F396" s="180"/>
      <c r="G396" s="180"/>
      <c r="H396" s="180"/>
      <c r="I396" s="180"/>
      <c r="J396" s="180"/>
    </row>
    <row r="397" spans="1:10" x14ac:dyDescent="0.2">
      <c r="A397" s="188" t="s">
        <v>1727</v>
      </c>
      <c r="B397" s="188"/>
      <c r="C397" s="188"/>
      <c r="D397" s="188"/>
      <c r="E397" s="188"/>
      <c r="F397" s="272" t="s">
        <v>1728</v>
      </c>
      <c r="G397" s="272" t="s">
        <v>1729</v>
      </c>
      <c r="H397" s="272" t="s">
        <v>1730</v>
      </c>
      <c r="I397" s="272" t="s">
        <v>1731</v>
      </c>
      <c r="J397" s="272" t="s">
        <v>1732</v>
      </c>
    </row>
    <row r="398" spans="1:10" ht="15" customHeight="1" x14ac:dyDescent="0.2">
      <c r="A398" s="188"/>
      <c r="B398" s="188"/>
      <c r="C398" s="188"/>
      <c r="D398" s="188"/>
      <c r="E398" s="188"/>
      <c r="F398" s="273"/>
      <c r="G398" s="190"/>
      <c r="H398" s="190"/>
      <c r="I398" s="190"/>
      <c r="J398" s="190"/>
    </row>
    <row r="399" spans="1:10" x14ac:dyDescent="0.2">
      <c r="A399" s="129"/>
      <c r="B399" s="129"/>
      <c r="C399" s="129"/>
      <c r="D399" s="129"/>
      <c r="E399" s="129"/>
      <c r="F399" s="129"/>
      <c r="G399" s="129"/>
      <c r="H399" s="129"/>
      <c r="I399" s="129"/>
      <c r="J399" s="129"/>
    </row>
    <row r="400" spans="1:10" x14ac:dyDescent="0.2">
      <c r="A400" s="150" t="s">
        <v>1733</v>
      </c>
      <c r="B400" s="150"/>
      <c r="C400" s="150"/>
      <c r="D400" s="150"/>
      <c r="E400" s="150"/>
      <c r="F400" s="150"/>
      <c r="G400" s="150"/>
      <c r="H400" s="150"/>
      <c r="I400" s="150"/>
      <c r="J400" s="150"/>
    </row>
    <row r="401" spans="1:10" x14ac:dyDescent="0.2">
      <c r="A401" s="389" t="s">
        <v>291</v>
      </c>
      <c r="B401" s="389"/>
      <c r="C401" s="389"/>
      <c r="D401" s="389"/>
      <c r="E401" s="389"/>
      <c r="F401" s="389"/>
      <c r="G401" s="389"/>
      <c r="H401" s="389"/>
      <c r="I401" s="389"/>
      <c r="J401" s="389"/>
    </row>
    <row r="402" spans="1:10" ht="23.45" customHeight="1" x14ac:dyDescent="0.2">
      <c r="A402" s="129" t="s">
        <v>1734</v>
      </c>
      <c r="B402" s="129"/>
      <c r="C402" s="129"/>
      <c r="D402" s="129"/>
      <c r="E402" s="129"/>
      <c r="F402" s="129"/>
      <c r="G402" s="129"/>
      <c r="H402" s="129"/>
      <c r="I402" s="129"/>
      <c r="J402" s="129"/>
    </row>
    <row r="403" spans="1:10" x14ac:dyDescent="0.2">
      <c r="A403" s="128" t="s">
        <v>293</v>
      </c>
      <c r="B403" s="128"/>
      <c r="C403" s="128"/>
      <c r="D403" s="128"/>
      <c r="E403" s="128"/>
      <c r="F403" s="128"/>
      <c r="G403" s="128"/>
      <c r="H403" s="128"/>
      <c r="I403" s="128"/>
      <c r="J403" s="128"/>
    </row>
    <row r="404" spans="1:10" ht="33.75" x14ac:dyDescent="0.2">
      <c r="A404" s="152" t="s">
        <v>243</v>
      </c>
      <c r="B404" s="151" t="s">
        <v>242</v>
      </c>
      <c r="C404" s="151"/>
      <c r="D404" s="151"/>
      <c r="E404" s="132" t="str">
        <f t="shared" ref="E404:J404" si="67">E26</f>
        <v>Actuals           2014-2015</v>
      </c>
      <c r="F404" s="132" t="str">
        <f t="shared" si="67"/>
        <v>Approved Estimates          2015-2016</v>
      </c>
      <c r="G404" s="132" t="str">
        <f t="shared" si="67"/>
        <v>Revised Estimates                 2015-2016</v>
      </c>
      <c r="H404" s="132" t="str">
        <f t="shared" si="67"/>
        <v>Budget Estimates      2016-2017</v>
      </c>
      <c r="I404" s="132" t="str">
        <f t="shared" si="67"/>
        <v>Forward Estimates     2017-2018</v>
      </c>
      <c r="J404" s="132" t="str">
        <f t="shared" si="67"/>
        <v>Forward Estimates     2018-2019</v>
      </c>
    </row>
    <row r="405" spans="1:10" x14ac:dyDescent="0.2">
      <c r="A405" s="207">
        <v>160</v>
      </c>
      <c r="B405" s="129" t="s">
        <v>1735</v>
      </c>
      <c r="C405" s="129"/>
      <c r="D405" s="129"/>
      <c r="E405" s="211">
        <v>4901</v>
      </c>
      <c r="F405" s="209">
        <v>0</v>
      </c>
      <c r="G405" s="211">
        <v>0</v>
      </c>
      <c r="H405" s="210">
        <v>0</v>
      </c>
      <c r="I405" s="211">
        <v>0</v>
      </c>
      <c r="J405" s="211">
        <v>0</v>
      </c>
    </row>
    <row r="406" spans="1:10" x14ac:dyDescent="0.2">
      <c r="A406" s="137" t="s">
        <v>1605</v>
      </c>
      <c r="B406" s="137"/>
      <c r="C406" s="137"/>
      <c r="D406" s="137"/>
      <c r="E406" s="138">
        <f t="shared" ref="E406:J406" si="68">SUM(E405:E405)</f>
        <v>4901</v>
      </c>
      <c r="F406" s="138">
        <f t="shared" si="68"/>
        <v>0</v>
      </c>
      <c r="G406" s="138">
        <f t="shared" si="68"/>
        <v>0</v>
      </c>
      <c r="H406" s="138">
        <f t="shared" si="68"/>
        <v>0</v>
      </c>
      <c r="I406" s="138">
        <f t="shared" si="68"/>
        <v>0</v>
      </c>
      <c r="J406" s="138">
        <f t="shared" si="68"/>
        <v>0</v>
      </c>
    </row>
    <row r="407" spans="1:10" ht="15" customHeight="1" x14ac:dyDescent="0.2">
      <c r="A407" s="129"/>
      <c r="B407" s="129"/>
      <c r="C407" s="129"/>
      <c r="D407" s="129"/>
      <c r="E407" s="129"/>
      <c r="F407" s="129"/>
      <c r="G407" s="129"/>
      <c r="H407" s="129"/>
      <c r="I407" s="129"/>
      <c r="J407" s="129"/>
    </row>
    <row r="408" spans="1:10" ht="15" customHeight="1" x14ac:dyDescent="0.2">
      <c r="A408" s="128" t="s">
        <v>284</v>
      </c>
      <c r="B408" s="128"/>
      <c r="C408" s="128"/>
      <c r="D408" s="128"/>
      <c r="E408" s="128"/>
      <c r="F408" s="128"/>
      <c r="G408" s="128"/>
      <c r="H408" s="128"/>
      <c r="I408" s="128"/>
      <c r="J408" s="128"/>
    </row>
    <row r="409" spans="1:10" ht="33.75" x14ac:dyDescent="0.2">
      <c r="A409" s="152" t="s">
        <v>243</v>
      </c>
      <c r="B409" s="151" t="s">
        <v>242</v>
      </c>
      <c r="C409" s="151"/>
      <c r="D409" s="151"/>
      <c r="E409" s="132" t="str">
        <f t="shared" ref="E409:J409" si="69">E26</f>
        <v>Actuals           2014-2015</v>
      </c>
      <c r="F409" s="132" t="str">
        <f t="shared" si="69"/>
        <v>Approved Estimates          2015-2016</v>
      </c>
      <c r="G409" s="132" t="str">
        <f t="shared" si="69"/>
        <v>Revised Estimates                 2015-2016</v>
      </c>
      <c r="H409" s="132" t="str">
        <f t="shared" si="69"/>
        <v>Budget Estimates      2016-2017</v>
      </c>
      <c r="I409" s="132" t="str">
        <f t="shared" si="69"/>
        <v>Forward Estimates     2017-2018</v>
      </c>
      <c r="J409" s="132" t="str">
        <f t="shared" si="69"/>
        <v>Forward Estimates     2018-2019</v>
      </c>
    </row>
    <row r="410" spans="1:10" ht="15" customHeight="1" x14ac:dyDescent="0.2">
      <c r="A410" s="151" t="s">
        <v>7</v>
      </c>
      <c r="B410" s="151"/>
      <c r="C410" s="151"/>
      <c r="D410" s="151"/>
      <c r="E410" s="151"/>
      <c r="F410" s="151"/>
      <c r="G410" s="151"/>
      <c r="H410" s="151"/>
      <c r="I410" s="151"/>
      <c r="J410" s="190"/>
    </row>
    <row r="411" spans="1:10" x14ac:dyDescent="0.2">
      <c r="A411" s="207">
        <v>210</v>
      </c>
      <c r="B411" s="129" t="s">
        <v>7</v>
      </c>
      <c r="C411" s="129"/>
      <c r="D411" s="129"/>
      <c r="E411" s="211">
        <v>390450</v>
      </c>
      <c r="F411" s="209">
        <v>395900</v>
      </c>
      <c r="G411" s="211">
        <v>395900</v>
      </c>
      <c r="H411" s="210">
        <v>412500</v>
      </c>
      <c r="I411" s="211">
        <v>414500</v>
      </c>
      <c r="J411" s="211">
        <v>416700</v>
      </c>
    </row>
    <row r="412" spans="1:10" x14ac:dyDescent="0.2">
      <c r="A412" s="207">
        <v>212</v>
      </c>
      <c r="B412" s="129" t="s">
        <v>9</v>
      </c>
      <c r="C412" s="129"/>
      <c r="D412" s="129"/>
      <c r="E412" s="211">
        <v>0</v>
      </c>
      <c r="F412" s="209">
        <v>0</v>
      </c>
      <c r="G412" s="211">
        <v>0</v>
      </c>
      <c r="H412" s="210">
        <v>0</v>
      </c>
      <c r="I412" s="211">
        <v>0</v>
      </c>
      <c r="J412" s="211">
        <v>0</v>
      </c>
    </row>
    <row r="413" spans="1:10" x14ac:dyDescent="0.2">
      <c r="A413" s="207">
        <v>216</v>
      </c>
      <c r="B413" s="129" t="s">
        <v>10</v>
      </c>
      <c r="C413" s="129"/>
      <c r="D413" s="129"/>
      <c r="E413" s="211">
        <v>59040</v>
      </c>
      <c r="F413" s="209">
        <v>61600</v>
      </c>
      <c r="G413" s="211">
        <v>65600</v>
      </c>
      <c r="H413" s="210">
        <v>71900</v>
      </c>
      <c r="I413" s="211">
        <v>71900</v>
      </c>
      <c r="J413" s="211">
        <v>71900</v>
      </c>
    </row>
    <row r="414" spans="1:10" x14ac:dyDescent="0.2">
      <c r="A414" s="207">
        <v>218</v>
      </c>
      <c r="B414" s="129" t="s">
        <v>294</v>
      </c>
      <c r="C414" s="129"/>
      <c r="D414" s="129"/>
      <c r="E414" s="211">
        <v>0</v>
      </c>
      <c r="F414" s="209">
        <v>0</v>
      </c>
      <c r="G414" s="211">
        <v>0</v>
      </c>
      <c r="H414" s="210">
        <v>0</v>
      </c>
      <c r="I414" s="211">
        <v>0</v>
      </c>
      <c r="J414" s="211">
        <v>0</v>
      </c>
    </row>
    <row r="415" spans="1:10" ht="15" customHeight="1" x14ac:dyDescent="0.2">
      <c r="A415" s="156" t="s">
        <v>295</v>
      </c>
      <c r="B415" s="156"/>
      <c r="C415" s="156"/>
      <c r="D415" s="156"/>
      <c r="E415" s="157">
        <f t="shared" ref="E415:J415" si="70">SUM(E411:E414)</f>
        <v>449490</v>
      </c>
      <c r="F415" s="157">
        <f t="shared" si="70"/>
        <v>457500</v>
      </c>
      <c r="G415" s="157">
        <f t="shared" si="70"/>
        <v>461500</v>
      </c>
      <c r="H415" s="157">
        <f t="shared" si="70"/>
        <v>484400</v>
      </c>
      <c r="I415" s="157">
        <f t="shared" si="70"/>
        <v>486400</v>
      </c>
      <c r="J415" s="157">
        <f t="shared" si="70"/>
        <v>488600</v>
      </c>
    </row>
    <row r="416" spans="1:10" ht="15" customHeight="1" x14ac:dyDescent="0.2">
      <c r="A416" s="156" t="s">
        <v>296</v>
      </c>
      <c r="B416" s="156"/>
      <c r="C416" s="156"/>
      <c r="D416" s="156"/>
      <c r="E416" s="156"/>
      <c r="F416" s="156"/>
      <c r="G416" s="156"/>
      <c r="H416" s="156"/>
      <c r="I416" s="156"/>
      <c r="J416" s="190"/>
    </row>
    <row r="417" spans="1:10" x14ac:dyDescent="0.2">
      <c r="A417" s="207" t="s">
        <v>1736</v>
      </c>
      <c r="B417" s="129" t="s">
        <v>1737</v>
      </c>
      <c r="C417" s="129"/>
      <c r="D417" s="129"/>
      <c r="E417" s="211">
        <v>4471.8</v>
      </c>
      <c r="F417" s="211">
        <v>8000</v>
      </c>
      <c r="G417" s="211">
        <v>8000</v>
      </c>
      <c r="H417" s="210">
        <v>8000</v>
      </c>
      <c r="I417" s="211">
        <v>8000</v>
      </c>
      <c r="J417" s="211">
        <v>8000</v>
      </c>
    </row>
    <row r="418" spans="1:10" x14ac:dyDescent="0.2">
      <c r="A418" s="207" t="s">
        <v>1738</v>
      </c>
      <c r="B418" s="129" t="s">
        <v>1739</v>
      </c>
      <c r="C418" s="129"/>
      <c r="D418" s="129"/>
      <c r="E418" s="211">
        <v>12406.84</v>
      </c>
      <c r="F418" s="211">
        <v>15000</v>
      </c>
      <c r="G418" s="211">
        <v>15000</v>
      </c>
      <c r="H418" s="210">
        <v>15000</v>
      </c>
      <c r="I418" s="211">
        <v>15000</v>
      </c>
      <c r="J418" s="211">
        <v>15000</v>
      </c>
    </row>
    <row r="419" spans="1:10" x14ac:dyDescent="0.2">
      <c r="A419" s="207" t="s">
        <v>1740</v>
      </c>
      <c r="B419" s="129" t="s">
        <v>1741</v>
      </c>
      <c r="C419" s="129"/>
      <c r="D419" s="129"/>
      <c r="E419" s="211">
        <v>39417.61</v>
      </c>
      <c r="F419" s="211">
        <v>38000</v>
      </c>
      <c r="G419" s="211">
        <v>43000</v>
      </c>
      <c r="H419" s="210">
        <v>38000</v>
      </c>
      <c r="I419" s="211">
        <v>38000</v>
      </c>
      <c r="J419" s="211">
        <v>38000</v>
      </c>
    </row>
    <row r="420" spans="1:10" x14ac:dyDescent="0.2">
      <c r="A420" s="207" t="s">
        <v>1742</v>
      </c>
      <c r="B420" s="129" t="s">
        <v>1743</v>
      </c>
      <c r="C420" s="129"/>
      <c r="D420" s="129"/>
      <c r="E420" s="211">
        <v>9500</v>
      </c>
      <c r="F420" s="211">
        <v>12000</v>
      </c>
      <c r="G420" s="211">
        <v>12000</v>
      </c>
      <c r="H420" s="210">
        <v>12000</v>
      </c>
      <c r="I420" s="211">
        <v>12000</v>
      </c>
      <c r="J420" s="211">
        <v>12000</v>
      </c>
    </row>
    <row r="421" spans="1:10" x14ac:dyDescent="0.2">
      <c r="A421" s="207" t="s">
        <v>1744</v>
      </c>
      <c r="B421" s="129" t="s">
        <v>1745</v>
      </c>
      <c r="C421" s="129"/>
      <c r="D421" s="129"/>
      <c r="E421" s="211">
        <v>10492.44</v>
      </c>
      <c r="F421" s="211">
        <v>10500</v>
      </c>
      <c r="G421" s="211">
        <v>10500</v>
      </c>
      <c r="H421" s="210">
        <v>10500</v>
      </c>
      <c r="I421" s="211">
        <v>10500</v>
      </c>
      <c r="J421" s="211">
        <v>10500</v>
      </c>
    </row>
    <row r="422" spans="1:10" x14ac:dyDescent="0.2">
      <c r="A422" s="207" t="s">
        <v>1746</v>
      </c>
      <c r="B422" s="129" t="s">
        <v>1747</v>
      </c>
      <c r="C422" s="129"/>
      <c r="D422" s="129"/>
      <c r="E422" s="211">
        <v>17182.22</v>
      </c>
      <c r="F422" s="211">
        <v>20000</v>
      </c>
      <c r="G422" s="211">
        <v>20000</v>
      </c>
      <c r="H422" s="210">
        <v>20000</v>
      </c>
      <c r="I422" s="211">
        <v>20000</v>
      </c>
      <c r="J422" s="211">
        <v>20000</v>
      </c>
    </row>
    <row r="423" spans="1:10" x14ac:dyDescent="0.2">
      <c r="A423" s="207" t="s">
        <v>1748</v>
      </c>
      <c r="B423" s="129" t="s">
        <v>1749</v>
      </c>
      <c r="C423" s="129"/>
      <c r="D423" s="129"/>
      <c r="E423" s="211">
        <v>64909.82</v>
      </c>
      <c r="F423" s="211">
        <v>265000</v>
      </c>
      <c r="G423" s="211">
        <v>265000</v>
      </c>
      <c r="H423" s="210">
        <v>265000</v>
      </c>
      <c r="I423" s="211">
        <v>265000</v>
      </c>
      <c r="J423" s="211">
        <v>265000</v>
      </c>
    </row>
    <row r="424" spans="1:10" x14ac:dyDescent="0.2">
      <c r="A424" s="207" t="s">
        <v>1750</v>
      </c>
      <c r="B424" s="129" t="s">
        <v>1751</v>
      </c>
      <c r="C424" s="129"/>
      <c r="D424" s="129"/>
      <c r="E424" s="211">
        <v>77910</v>
      </c>
      <c r="F424" s="211">
        <v>78000</v>
      </c>
      <c r="G424" s="211">
        <v>78000</v>
      </c>
      <c r="H424" s="210">
        <v>78000</v>
      </c>
      <c r="I424" s="211">
        <v>78000</v>
      </c>
      <c r="J424" s="211">
        <v>78000</v>
      </c>
    </row>
    <row r="425" spans="1:10" x14ac:dyDescent="0.2">
      <c r="A425" s="207">
        <v>236</v>
      </c>
      <c r="B425" s="129" t="s">
        <v>213</v>
      </c>
      <c r="C425" s="129"/>
      <c r="D425" s="129"/>
      <c r="E425" s="211">
        <v>84489.45</v>
      </c>
      <c r="F425" s="211">
        <v>100000</v>
      </c>
      <c r="G425" s="211">
        <v>90000</v>
      </c>
      <c r="H425" s="210">
        <v>90000</v>
      </c>
      <c r="I425" s="211">
        <v>90000</v>
      </c>
      <c r="J425" s="211">
        <v>90000</v>
      </c>
    </row>
    <row r="426" spans="1:10" x14ac:dyDescent="0.2">
      <c r="A426" s="207" t="s">
        <v>1752</v>
      </c>
      <c r="B426" s="129" t="s">
        <v>1753</v>
      </c>
      <c r="C426" s="129"/>
      <c r="D426" s="129"/>
      <c r="E426" s="211">
        <v>1585.05</v>
      </c>
      <c r="F426" s="211">
        <v>2000</v>
      </c>
      <c r="G426" s="211">
        <v>2000</v>
      </c>
      <c r="H426" s="210">
        <v>2000</v>
      </c>
      <c r="I426" s="211">
        <v>2000</v>
      </c>
      <c r="J426" s="211">
        <v>2000</v>
      </c>
    </row>
    <row r="427" spans="1:10" x14ac:dyDescent="0.2">
      <c r="A427" s="207" t="s">
        <v>1754</v>
      </c>
      <c r="B427" s="129" t="s">
        <v>1755</v>
      </c>
      <c r="C427" s="129"/>
      <c r="D427" s="129"/>
      <c r="E427" s="211">
        <v>208979.53</v>
      </c>
      <c r="F427" s="211">
        <v>130000</v>
      </c>
      <c r="G427" s="211">
        <v>130000</v>
      </c>
      <c r="H427" s="210">
        <v>130000</v>
      </c>
      <c r="I427" s="211">
        <v>130000</v>
      </c>
      <c r="J427" s="211">
        <v>130000</v>
      </c>
    </row>
    <row r="428" spans="1:10" x14ac:dyDescent="0.2">
      <c r="A428" s="207" t="s">
        <v>1756</v>
      </c>
      <c r="B428" s="129" t="s">
        <v>1757</v>
      </c>
      <c r="C428" s="129"/>
      <c r="D428" s="129"/>
      <c r="E428" s="211">
        <v>289810.52</v>
      </c>
      <c r="F428" s="211">
        <v>300000</v>
      </c>
      <c r="G428" s="211">
        <v>300000</v>
      </c>
      <c r="H428" s="210">
        <v>300000</v>
      </c>
      <c r="I428" s="211">
        <v>300000</v>
      </c>
      <c r="J428" s="211">
        <v>300000</v>
      </c>
    </row>
    <row r="429" spans="1:10" x14ac:dyDescent="0.2">
      <c r="A429" s="207" t="s">
        <v>1758</v>
      </c>
      <c r="B429" s="129" t="s">
        <v>1759</v>
      </c>
      <c r="C429" s="129"/>
      <c r="D429" s="129"/>
      <c r="E429" s="211">
        <v>466</v>
      </c>
      <c r="F429" s="211">
        <v>2000</v>
      </c>
      <c r="G429" s="211">
        <v>2000</v>
      </c>
      <c r="H429" s="210">
        <v>2000</v>
      </c>
      <c r="I429" s="211">
        <v>2000</v>
      </c>
      <c r="J429" s="211">
        <v>2000</v>
      </c>
    </row>
    <row r="430" spans="1:10" x14ac:dyDescent="0.2">
      <c r="A430" s="207" t="s">
        <v>1760</v>
      </c>
      <c r="B430" s="129" t="s">
        <v>1761</v>
      </c>
      <c r="C430" s="129"/>
      <c r="D430" s="129"/>
      <c r="E430" s="211">
        <v>16380.54</v>
      </c>
      <c r="F430" s="211">
        <v>25000</v>
      </c>
      <c r="G430" s="211">
        <v>20000</v>
      </c>
      <c r="H430" s="210">
        <v>25000</v>
      </c>
      <c r="I430" s="211">
        <v>25000</v>
      </c>
      <c r="J430" s="211">
        <v>25000</v>
      </c>
    </row>
    <row r="431" spans="1:10" ht="15" customHeight="1" x14ac:dyDescent="0.2">
      <c r="A431" s="156" t="s">
        <v>298</v>
      </c>
      <c r="B431" s="156"/>
      <c r="C431" s="156"/>
      <c r="D431" s="156"/>
      <c r="E431" s="157">
        <f t="shared" ref="E431:J431" si="71">SUM(E417:E430)</f>
        <v>838001.82000000007</v>
      </c>
      <c r="F431" s="264">
        <f t="shared" si="71"/>
        <v>1005500</v>
      </c>
      <c r="G431" s="157">
        <f t="shared" si="71"/>
        <v>995500</v>
      </c>
      <c r="H431" s="157">
        <f t="shared" si="71"/>
        <v>995500</v>
      </c>
      <c r="I431" s="157">
        <f t="shared" si="71"/>
        <v>995500</v>
      </c>
      <c r="J431" s="157">
        <f t="shared" si="71"/>
        <v>995500</v>
      </c>
    </row>
    <row r="432" spans="1:10" x14ac:dyDescent="0.2">
      <c r="A432" s="159" t="s">
        <v>299</v>
      </c>
      <c r="B432" s="159"/>
      <c r="C432" s="159"/>
      <c r="D432" s="159"/>
      <c r="E432" s="160">
        <f t="shared" ref="E432:J432" si="72">SUM(E415,E431)</f>
        <v>1287491.82</v>
      </c>
      <c r="F432" s="160">
        <f t="shared" si="72"/>
        <v>1463000</v>
      </c>
      <c r="G432" s="160">
        <f t="shared" si="72"/>
        <v>1457000</v>
      </c>
      <c r="H432" s="160">
        <f t="shared" si="72"/>
        <v>1479900</v>
      </c>
      <c r="I432" s="160">
        <f t="shared" si="72"/>
        <v>1481900</v>
      </c>
      <c r="J432" s="160">
        <f t="shared" si="72"/>
        <v>1484100</v>
      </c>
    </row>
    <row r="433" spans="1:10" x14ac:dyDescent="0.2">
      <c r="A433" s="129"/>
      <c r="B433" s="129"/>
      <c r="C433" s="129"/>
      <c r="D433" s="129"/>
      <c r="E433" s="129"/>
      <c r="F433" s="129"/>
      <c r="G433" s="129"/>
      <c r="H433" s="129"/>
      <c r="I433" s="129"/>
      <c r="J433" s="190"/>
    </row>
    <row r="434" spans="1:10" x14ac:dyDescent="0.2">
      <c r="A434" s="162" t="s">
        <v>15</v>
      </c>
      <c r="B434" s="162"/>
      <c r="C434" s="162"/>
      <c r="D434" s="162"/>
      <c r="E434" s="162"/>
      <c r="F434" s="162"/>
      <c r="G434" s="162"/>
      <c r="H434" s="162"/>
      <c r="I434" s="162"/>
      <c r="J434" s="162"/>
    </row>
    <row r="435" spans="1:10" ht="18.75" customHeight="1" x14ac:dyDescent="0.2">
      <c r="A435" s="131" t="s">
        <v>242</v>
      </c>
      <c r="B435" s="131"/>
      <c r="C435" s="131"/>
      <c r="D435" s="131"/>
      <c r="E435" s="128" t="str">
        <f t="shared" ref="E435:J435" si="73">E26</f>
        <v>Actuals           2014-2015</v>
      </c>
      <c r="F435" s="128" t="str">
        <f t="shared" si="73"/>
        <v>Approved Estimates          2015-2016</v>
      </c>
      <c r="G435" s="128" t="str">
        <f t="shared" si="73"/>
        <v>Revised Estimates                 2015-2016</v>
      </c>
      <c r="H435" s="128" t="str">
        <f t="shared" si="73"/>
        <v>Budget Estimates      2016-2017</v>
      </c>
      <c r="I435" s="128" t="str">
        <f t="shared" si="73"/>
        <v>Forward Estimates     2017-2018</v>
      </c>
      <c r="J435" s="128" t="str">
        <f t="shared" si="73"/>
        <v>Forward Estimates     2018-2019</v>
      </c>
    </row>
    <row r="436" spans="1:10" x14ac:dyDescent="0.2">
      <c r="A436" s="130" t="s">
        <v>243</v>
      </c>
      <c r="B436" s="130" t="s">
        <v>244</v>
      </c>
      <c r="C436" s="131" t="s">
        <v>245</v>
      </c>
      <c r="D436" s="131"/>
      <c r="E436" s="128"/>
      <c r="F436" s="128"/>
      <c r="G436" s="128"/>
      <c r="H436" s="128"/>
      <c r="I436" s="128"/>
      <c r="J436" s="128"/>
    </row>
    <row r="437" spans="1:10" ht="15" customHeight="1" x14ac:dyDescent="0.2">
      <c r="A437" s="163"/>
      <c r="B437" s="163"/>
      <c r="C437" s="156"/>
      <c r="D437" s="156"/>
      <c r="E437" s="158"/>
      <c r="F437" s="209"/>
      <c r="G437" s="158"/>
      <c r="H437" s="136"/>
      <c r="I437" s="158"/>
      <c r="J437" s="135"/>
    </row>
    <row r="438" spans="1:10" x14ac:dyDescent="0.2">
      <c r="A438" s="163"/>
      <c r="B438" s="163"/>
      <c r="C438" s="156"/>
      <c r="D438" s="156"/>
      <c r="E438" s="158"/>
      <c r="F438" s="209"/>
      <c r="G438" s="158"/>
      <c r="H438" s="136"/>
      <c r="I438" s="158"/>
      <c r="J438" s="135"/>
    </row>
    <row r="439" spans="1:10" x14ac:dyDescent="0.2">
      <c r="A439" s="137" t="s">
        <v>15</v>
      </c>
      <c r="B439" s="137"/>
      <c r="C439" s="137"/>
      <c r="D439" s="137"/>
      <c r="E439" s="138">
        <v>0</v>
      </c>
      <c r="F439" s="138">
        <v>0</v>
      </c>
      <c r="G439" s="138">
        <v>0</v>
      </c>
      <c r="H439" s="138">
        <v>0</v>
      </c>
      <c r="I439" s="138">
        <v>0</v>
      </c>
      <c r="J439" s="138">
        <v>0</v>
      </c>
    </row>
    <row r="440" spans="1:10" x14ac:dyDescent="0.2">
      <c r="A440" s="290"/>
      <c r="B440" s="290"/>
      <c r="C440" s="290"/>
      <c r="D440" s="290"/>
      <c r="E440" s="290"/>
      <c r="F440" s="290"/>
      <c r="G440" s="290"/>
      <c r="H440" s="290"/>
      <c r="I440" s="290"/>
      <c r="J440" s="290"/>
    </row>
    <row r="441" spans="1:10" x14ac:dyDescent="0.2">
      <c r="A441" s="161" t="s">
        <v>288</v>
      </c>
      <c r="B441" s="161"/>
      <c r="C441" s="161"/>
      <c r="D441" s="161"/>
      <c r="E441" s="161"/>
      <c r="F441" s="202"/>
      <c r="G441" s="202"/>
      <c r="H441" s="202"/>
      <c r="I441" s="202"/>
      <c r="J441" s="202"/>
    </row>
    <row r="442" spans="1:10" x14ac:dyDescent="0.2">
      <c r="A442" s="131" t="s">
        <v>300</v>
      </c>
      <c r="B442" s="131"/>
      <c r="C442" s="131"/>
      <c r="D442" s="132" t="s">
        <v>301</v>
      </c>
      <c r="E442" s="132" t="s">
        <v>302</v>
      </c>
      <c r="F442" s="131" t="s">
        <v>300</v>
      </c>
      <c r="G442" s="131"/>
      <c r="H442" s="131"/>
      <c r="I442" s="132" t="s">
        <v>301</v>
      </c>
      <c r="J442" s="132" t="s">
        <v>302</v>
      </c>
    </row>
    <row r="443" spans="1:10" x14ac:dyDescent="0.2">
      <c r="A443" s="134" t="str">
        <f>Establishment!D580</f>
        <v>Youth &amp; Sports Officer</v>
      </c>
      <c r="B443" s="134"/>
      <c r="C443" s="134"/>
      <c r="D443" s="133" t="str">
        <f>Establishment!E580</f>
        <v>R14-10</v>
      </c>
      <c r="E443" s="133">
        <f>Establishment!C580</f>
        <v>1</v>
      </c>
      <c r="F443" s="134" t="str">
        <f>Establishment!D584</f>
        <v>Clerical Officer (Snr)</v>
      </c>
      <c r="G443" s="134"/>
      <c r="H443" s="134"/>
      <c r="I443" s="133" t="str">
        <f>Establishment!E584</f>
        <v>R33-29</v>
      </c>
      <c r="J443" s="133">
        <f>Establishment!C584</f>
        <v>1</v>
      </c>
    </row>
    <row r="444" spans="1:10" x14ac:dyDescent="0.2">
      <c r="A444" s="134" t="str">
        <f>Establishment!D581</f>
        <v>Youth Development Officer</v>
      </c>
      <c r="B444" s="134"/>
      <c r="C444" s="134"/>
      <c r="D444" s="133" t="str">
        <f>Establishment!E581</f>
        <v>R22-16</v>
      </c>
      <c r="E444" s="133">
        <f>Establishment!C581</f>
        <v>1</v>
      </c>
      <c r="F444" s="134" t="str">
        <f>Establishment!D585</f>
        <v>Clerical Officer</v>
      </c>
      <c r="G444" s="134"/>
      <c r="H444" s="134"/>
      <c r="I444" s="133" t="str">
        <f>Establishment!E585</f>
        <v>R46-34</v>
      </c>
      <c r="J444" s="133">
        <f>Establishment!C585</f>
        <v>1</v>
      </c>
    </row>
    <row r="445" spans="1:10" x14ac:dyDescent="0.2">
      <c r="A445" s="134" t="str">
        <f>Establishment!D582</f>
        <v>Sports Coach</v>
      </c>
      <c r="B445" s="134"/>
      <c r="C445" s="134"/>
      <c r="D445" s="133" t="str">
        <f>Establishment!E582</f>
        <v>R33-29</v>
      </c>
      <c r="E445" s="133">
        <f>Establishment!C582</f>
        <v>4</v>
      </c>
      <c r="F445" s="134" t="str">
        <f>Establishment!D586</f>
        <v>Office Attendant</v>
      </c>
      <c r="G445" s="134"/>
      <c r="H445" s="134"/>
      <c r="I445" s="133" t="str">
        <f>Establishment!E586</f>
        <v>R51-45</v>
      </c>
      <c r="J445" s="133">
        <f>Establishment!C586</f>
        <v>1</v>
      </c>
    </row>
    <row r="446" spans="1:10" ht="15" customHeight="1" x14ac:dyDescent="0.2">
      <c r="A446" s="134" t="str">
        <f>Establishment!D583</f>
        <v>Sports Coach Trainee</v>
      </c>
      <c r="B446" s="134"/>
      <c r="C446" s="134"/>
      <c r="D446" s="133" t="str">
        <f>Establishment!E583</f>
        <v>R46-34</v>
      </c>
      <c r="E446" s="133">
        <f>Establishment!C583</f>
        <v>1</v>
      </c>
      <c r="F446" s="134"/>
      <c r="G446" s="134"/>
      <c r="H446" s="134"/>
      <c r="I446" s="209"/>
      <c r="J446" s="209"/>
    </row>
    <row r="447" spans="1:10" ht="14.25" customHeight="1" x14ac:dyDescent="0.2">
      <c r="A447" s="203" t="s">
        <v>303</v>
      </c>
      <c r="B447" s="203"/>
      <c r="C447" s="203"/>
      <c r="D447" s="203"/>
      <c r="E447" s="203"/>
      <c r="F447" s="203"/>
      <c r="G447" s="203"/>
      <c r="H447" s="203"/>
      <c r="I447" s="203"/>
      <c r="J447" s="204">
        <f>SUM(E443:E446,J443:J446)</f>
        <v>10</v>
      </c>
    </row>
    <row r="448" spans="1:10" x14ac:dyDescent="0.2">
      <c r="A448" s="129"/>
      <c r="B448" s="129"/>
      <c r="C448" s="129"/>
      <c r="D448" s="129"/>
      <c r="E448" s="129"/>
      <c r="F448" s="179"/>
      <c r="G448" s="179"/>
      <c r="H448" s="179"/>
      <c r="I448" s="179"/>
      <c r="J448" s="179"/>
    </row>
    <row r="449" spans="1:10" x14ac:dyDescent="0.2">
      <c r="A449" s="180" t="s">
        <v>304</v>
      </c>
      <c r="B449" s="180"/>
      <c r="C449" s="180"/>
      <c r="D449" s="180"/>
      <c r="E449" s="180"/>
      <c r="F449" s="180"/>
      <c r="G449" s="180"/>
      <c r="H449" s="180"/>
      <c r="I449" s="180"/>
      <c r="J449" s="180"/>
    </row>
    <row r="450" spans="1:10" x14ac:dyDescent="0.2">
      <c r="A450" s="181" t="s">
        <v>305</v>
      </c>
      <c r="B450" s="181"/>
      <c r="C450" s="181"/>
      <c r="D450" s="181"/>
      <c r="E450" s="181"/>
      <c r="F450" s="181"/>
      <c r="G450" s="181"/>
      <c r="H450" s="181"/>
      <c r="I450" s="181"/>
      <c r="J450" s="181"/>
    </row>
    <row r="451" spans="1:10" ht="24.75" customHeight="1" x14ac:dyDescent="0.2">
      <c r="A451" s="129" t="s">
        <v>1762</v>
      </c>
      <c r="B451" s="129"/>
      <c r="C451" s="129"/>
      <c r="D451" s="129"/>
      <c r="E451" s="129"/>
      <c r="F451" s="129"/>
      <c r="G451" s="129"/>
      <c r="H451" s="129"/>
      <c r="I451" s="129"/>
      <c r="J451" s="129"/>
    </row>
    <row r="452" spans="1:10" ht="24.75" customHeight="1" x14ac:dyDescent="0.2">
      <c r="A452" s="129" t="s">
        <v>1763</v>
      </c>
      <c r="B452" s="129"/>
      <c r="C452" s="129"/>
      <c r="D452" s="129"/>
      <c r="E452" s="129"/>
      <c r="F452" s="129"/>
      <c r="G452" s="129"/>
      <c r="H452" s="129"/>
      <c r="I452" s="129"/>
      <c r="J452" s="129"/>
    </row>
    <row r="453" spans="1:10" ht="24.75" customHeight="1" x14ac:dyDescent="0.2">
      <c r="A453" s="129" t="s">
        <v>1764</v>
      </c>
      <c r="B453" s="129"/>
      <c r="C453" s="129"/>
      <c r="D453" s="129"/>
      <c r="E453" s="129"/>
      <c r="F453" s="129"/>
      <c r="G453" s="129"/>
      <c r="H453" s="129"/>
      <c r="I453" s="129"/>
      <c r="J453" s="129"/>
    </row>
    <row r="454" spans="1:10" ht="24.75" customHeight="1" x14ac:dyDescent="0.2">
      <c r="A454" s="129" t="s">
        <v>1765</v>
      </c>
      <c r="B454" s="129"/>
      <c r="C454" s="129"/>
      <c r="D454" s="129"/>
      <c r="E454" s="129"/>
      <c r="F454" s="129"/>
      <c r="G454" s="129"/>
      <c r="H454" s="129"/>
      <c r="I454" s="129"/>
      <c r="J454" s="129"/>
    </row>
    <row r="455" spans="1:10" x14ac:dyDescent="0.2">
      <c r="A455" s="129"/>
      <c r="B455" s="129"/>
      <c r="C455" s="129"/>
      <c r="D455" s="129"/>
      <c r="E455" s="129"/>
      <c r="F455" s="129"/>
      <c r="G455" s="129"/>
      <c r="H455" s="129"/>
      <c r="I455" s="129"/>
      <c r="J455" s="129"/>
    </row>
    <row r="456" spans="1:10" x14ac:dyDescent="0.2">
      <c r="A456" s="183" t="s">
        <v>415</v>
      </c>
      <c r="B456" s="183"/>
      <c r="C456" s="183"/>
      <c r="D456" s="183"/>
      <c r="E456" s="183"/>
      <c r="F456" s="183"/>
      <c r="G456" s="183"/>
      <c r="H456" s="183"/>
      <c r="I456" s="183"/>
      <c r="J456" s="183"/>
    </row>
    <row r="457" spans="1:10" x14ac:dyDescent="0.2">
      <c r="A457" s="129"/>
      <c r="B457" s="129"/>
      <c r="C457" s="129"/>
      <c r="D457" s="129"/>
      <c r="E457" s="129"/>
      <c r="F457" s="129"/>
      <c r="G457" s="129"/>
      <c r="H457" s="129"/>
      <c r="I457" s="129"/>
      <c r="J457" s="129"/>
    </row>
    <row r="458" spans="1:10" x14ac:dyDescent="0.2">
      <c r="A458" s="129"/>
      <c r="B458" s="129"/>
      <c r="C458" s="129"/>
      <c r="D458" s="129"/>
      <c r="E458" s="129"/>
      <c r="F458" s="129"/>
      <c r="G458" s="129"/>
      <c r="H458" s="129"/>
      <c r="I458" s="129"/>
      <c r="J458" s="129"/>
    </row>
    <row r="459" spans="1:10" ht="22.5" x14ac:dyDescent="0.2">
      <c r="A459" s="180" t="s">
        <v>315</v>
      </c>
      <c r="B459" s="180"/>
      <c r="C459" s="180"/>
      <c r="D459" s="180"/>
      <c r="E459" s="180"/>
      <c r="F459" s="184" t="str">
        <f>F136</f>
        <v xml:space="preserve"> Actual 2014-2015</v>
      </c>
      <c r="G459" s="184" t="str">
        <f>G136</f>
        <v xml:space="preserve"> Estimate 2015-2016</v>
      </c>
      <c r="H459" s="184" t="str">
        <f>H136</f>
        <v xml:space="preserve"> Target 2016-2017</v>
      </c>
      <c r="I459" s="184" t="str">
        <f>I136</f>
        <v xml:space="preserve"> Target 2017-2018</v>
      </c>
      <c r="J459" s="184" t="str">
        <f>J136</f>
        <v xml:space="preserve"> Target 2018-2019</v>
      </c>
    </row>
    <row r="460" spans="1:10" x14ac:dyDescent="0.2">
      <c r="A460" s="180" t="s">
        <v>316</v>
      </c>
      <c r="B460" s="180"/>
      <c r="C460" s="180"/>
      <c r="D460" s="180"/>
      <c r="E460" s="180"/>
      <c r="F460" s="180"/>
      <c r="G460" s="180"/>
      <c r="H460" s="180"/>
      <c r="I460" s="180"/>
      <c r="J460" s="180"/>
    </row>
    <row r="461" spans="1:10" ht="24" customHeight="1" x14ac:dyDescent="0.2">
      <c r="A461" s="501" t="s">
        <v>1766</v>
      </c>
      <c r="B461" s="501"/>
      <c r="C461" s="501"/>
      <c r="D461" s="501"/>
      <c r="E461" s="501"/>
      <c r="F461" s="191" t="s">
        <v>1767</v>
      </c>
      <c r="G461" s="191" t="s">
        <v>1768</v>
      </c>
      <c r="H461" s="191" t="s">
        <v>1038</v>
      </c>
      <c r="I461" s="191" t="s">
        <v>1038</v>
      </c>
      <c r="J461" s="191" t="s">
        <v>1038</v>
      </c>
    </row>
    <row r="462" spans="1:10" ht="14.25" customHeight="1" x14ac:dyDescent="0.2">
      <c r="A462" s="501" t="s">
        <v>1769</v>
      </c>
      <c r="B462" s="501"/>
      <c r="C462" s="501"/>
      <c r="D462" s="501"/>
      <c r="E462" s="501"/>
      <c r="F462" s="191"/>
      <c r="G462" s="191"/>
      <c r="H462" s="191"/>
      <c r="I462" s="191"/>
      <c r="J462" s="191"/>
    </row>
    <row r="463" spans="1:10" ht="14.25" customHeight="1" x14ac:dyDescent="0.2">
      <c r="A463" s="501" t="s">
        <v>1770</v>
      </c>
      <c r="B463" s="501"/>
      <c r="C463" s="501"/>
      <c r="D463" s="501"/>
      <c r="E463" s="501"/>
      <c r="F463" s="191">
        <v>6</v>
      </c>
      <c r="G463" s="191">
        <v>7</v>
      </c>
      <c r="H463" s="191">
        <v>7</v>
      </c>
      <c r="I463" s="191">
        <v>7</v>
      </c>
      <c r="J463" s="191">
        <v>7</v>
      </c>
    </row>
    <row r="464" spans="1:10" x14ac:dyDescent="0.2">
      <c r="A464" s="501" t="s">
        <v>1771</v>
      </c>
      <c r="B464" s="501"/>
      <c r="C464" s="501"/>
      <c r="D464" s="501"/>
      <c r="E464" s="501"/>
      <c r="F464" s="191">
        <v>2</v>
      </c>
      <c r="G464" s="191">
        <v>3</v>
      </c>
      <c r="H464" s="191">
        <v>3</v>
      </c>
      <c r="I464" s="191">
        <v>4</v>
      </c>
      <c r="J464" s="191">
        <v>4</v>
      </c>
    </row>
    <row r="465" spans="1:10" x14ac:dyDescent="0.2">
      <c r="A465" s="188"/>
      <c r="B465" s="188"/>
      <c r="C465" s="188"/>
      <c r="D465" s="188"/>
      <c r="E465" s="188"/>
      <c r="F465" s="190"/>
      <c r="G465" s="190"/>
      <c r="H465" s="190"/>
      <c r="I465" s="190"/>
      <c r="J465" s="190"/>
    </row>
    <row r="466" spans="1:10" ht="22.5" customHeight="1" x14ac:dyDescent="0.2">
      <c r="A466" s="180" t="s">
        <v>324</v>
      </c>
      <c r="B466" s="180"/>
      <c r="C466" s="180"/>
      <c r="D466" s="180"/>
      <c r="E466" s="180"/>
      <c r="F466" s="180"/>
      <c r="G466" s="180"/>
      <c r="H466" s="180"/>
      <c r="I466" s="180"/>
      <c r="J466" s="180"/>
    </row>
    <row r="467" spans="1:10" ht="24" customHeight="1" x14ac:dyDescent="0.2">
      <c r="A467" s="501" t="s">
        <v>1772</v>
      </c>
      <c r="B467" s="501"/>
      <c r="C467" s="501"/>
      <c r="D467" s="501"/>
      <c r="E467" s="501"/>
      <c r="F467" s="191" t="s">
        <v>524</v>
      </c>
      <c r="G467" s="191" t="s">
        <v>377</v>
      </c>
      <c r="H467" s="191" t="s">
        <v>377</v>
      </c>
      <c r="I467" s="191" t="s">
        <v>683</v>
      </c>
      <c r="J467" s="191" t="s">
        <v>684</v>
      </c>
    </row>
    <row r="468" spans="1:10" x14ac:dyDescent="0.2">
      <c r="A468" s="501" t="s">
        <v>1773</v>
      </c>
      <c r="B468" s="501"/>
      <c r="C468" s="501"/>
      <c r="D468" s="501"/>
      <c r="E468" s="501"/>
      <c r="F468" s="191" t="s">
        <v>377</v>
      </c>
      <c r="G468" s="191" t="s">
        <v>1043</v>
      </c>
      <c r="H468" s="191" t="s">
        <v>1043</v>
      </c>
      <c r="I468" s="191" t="s">
        <v>683</v>
      </c>
      <c r="J468" s="191" t="s">
        <v>683</v>
      </c>
    </row>
    <row r="469" spans="1:10" ht="12.75" customHeight="1" x14ac:dyDescent="0.2">
      <c r="A469" s="307"/>
      <c r="B469" s="308"/>
      <c r="C469" s="308"/>
      <c r="D469" s="308"/>
      <c r="E469" s="308"/>
      <c r="F469" s="308"/>
      <c r="G469" s="308"/>
      <c r="H469" s="308"/>
      <c r="I469" s="308"/>
      <c r="J469" s="309"/>
    </row>
    <row r="470" spans="1:10" ht="12.75" customHeight="1" x14ac:dyDescent="0.2"/>
    <row r="471" spans="1:10" ht="12.75" customHeight="1" x14ac:dyDescent="0.2">
      <c r="A471" s="222"/>
      <c r="B471" s="222"/>
      <c r="C471" s="222"/>
      <c r="D471" s="222"/>
      <c r="E471" s="274" t="s">
        <v>382</v>
      </c>
      <c r="F471" s="229"/>
      <c r="G471" s="222"/>
      <c r="H471" s="222"/>
      <c r="I471" s="222"/>
      <c r="J471" s="223" t="s">
        <v>766</v>
      </c>
    </row>
    <row r="472" spans="1:10" ht="33.75" customHeight="1" thickBot="1" x14ac:dyDescent="0.25">
      <c r="A472" s="224"/>
      <c r="B472" s="224" t="s">
        <v>188</v>
      </c>
      <c r="C472" s="225"/>
      <c r="D472" s="226"/>
      <c r="E472" s="184" t="str">
        <f t="shared" ref="E472:J472" si="74">E26</f>
        <v>Actuals           2014-2015</v>
      </c>
      <c r="F472" s="184" t="str">
        <f t="shared" si="74"/>
        <v>Approved Estimates          2015-2016</v>
      </c>
      <c r="G472" s="184" t="str">
        <f t="shared" si="74"/>
        <v>Revised Estimates                 2015-2016</v>
      </c>
      <c r="H472" s="184" t="str">
        <f t="shared" si="74"/>
        <v>Budget Estimates      2016-2017</v>
      </c>
      <c r="I472" s="184" t="str">
        <f t="shared" si="74"/>
        <v>Forward Estimates     2017-2018</v>
      </c>
      <c r="J472" s="184" t="str">
        <f t="shared" si="74"/>
        <v>Forward Estimates     2018-2019</v>
      </c>
    </row>
    <row r="473" spans="1:10" ht="12.75" customHeight="1" x14ac:dyDescent="0.2">
      <c r="A473" s="229" t="s">
        <v>7</v>
      </c>
      <c r="B473" s="227"/>
      <c r="C473" s="227"/>
      <c r="D473" s="227"/>
      <c r="E473" s="227"/>
      <c r="F473" s="227"/>
      <c r="G473" s="227"/>
      <c r="H473" s="227"/>
      <c r="I473" s="228"/>
      <c r="J473" s="227"/>
    </row>
    <row r="474" spans="1:10" ht="12.75" customHeight="1" x14ac:dyDescent="0.2">
      <c r="A474" s="222"/>
      <c r="B474" s="222" t="s">
        <v>501</v>
      </c>
      <c r="C474" s="222"/>
      <c r="D474" s="222"/>
      <c r="E474" s="231">
        <f t="shared" ref="E474:J474" si="75">E84</f>
        <v>775370.11</v>
      </c>
      <c r="F474" s="231">
        <f t="shared" si="75"/>
        <v>783500</v>
      </c>
      <c r="G474" s="231">
        <f t="shared" si="75"/>
        <v>783500</v>
      </c>
      <c r="H474" s="231">
        <f t="shared" si="75"/>
        <v>785700</v>
      </c>
      <c r="I474" s="231">
        <f t="shared" si="75"/>
        <v>787900</v>
      </c>
      <c r="J474" s="231">
        <f t="shared" si="75"/>
        <v>790600</v>
      </c>
    </row>
    <row r="475" spans="1:10" ht="12.75" customHeight="1" x14ac:dyDescent="0.2">
      <c r="A475" s="222"/>
      <c r="B475" s="222" t="s">
        <v>1600</v>
      </c>
      <c r="C475" s="222"/>
      <c r="D475" s="222"/>
      <c r="E475" s="231">
        <f t="shared" ref="E475:J475" si="76">E158</f>
        <v>1129894.53</v>
      </c>
      <c r="F475" s="231">
        <f t="shared" si="76"/>
        <v>1249500</v>
      </c>
      <c r="G475" s="231">
        <f t="shared" si="76"/>
        <v>1239500</v>
      </c>
      <c r="H475" s="231">
        <f t="shared" si="76"/>
        <v>1381200</v>
      </c>
      <c r="I475" s="231">
        <f t="shared" si="76"/>
        <v>1416500</v>
      </c>
      <c r="J475" s="231">
        <f t="shared" si="76"/>
        <v>1451800</v>
      </c>
    </row>
    <row r="476" spans="1:10" ht="12.75" customHeight="1" x14ac:dyDescent="0.2">
      <c r="A476" s="222"/>
      <c r="B476" s="222" t="s">
        <v>1601</v>
      </c>
      <c r="C476" s="222"/>
      <c r="D476" s="222"/>
      <c r="E476" s="231">
        <f t="shared" ref="E476:J476" si="77">E220</f>
        <v>2047862.61</v>
      </c>
      <c r="F476" s="231">
        <f t="shared" si="77"/>
        <v>2190000</v>
      </c>
      <c r="G476" s="231">
        <f t="shared" si="77"/>
        <v>2124700</v>
      </c>
      <c r="H476" s="231">
        <f t="shared" si="77"/>
        <v>2370700</v>
      </c>
      <c r="I476" s="231">
        <f t="shared" si="77"/>
        <v>2476000</v>
      </c>
      <c r="J476" s="231">
        <f t="shared" si="77"/>
        <v>2500800</v>
      </c>
    </row>
    <row r="477" spans="1:10" ht="12.75" customHeight="1" x14ac:dyDescent="0.2">
      <c r="A477" s="222"/>
      <c r="B477" s="222" t="s">
        <v>1602</v>
      </c>
      <c r="C477" s="222"/>
      <c r="D477" s="222"/>
      <c r="E477" s="231">
        <f t="shared" ref="E477:J477" si="78">E290</f>
        <v>143989.25</v>
      </c>
      <c r="F477" s="231">
        <f t="shared" si="78"/>
        <v>171500</v>
      </c>
      <c r="G477" s="231">
        <f t="shared" si="78"/>
        <v>184500</v>
      </c>
      <c r="H477" s="231">
        <f t="shared" si="78"/>
        <v>184600</v>
      </c>
      <c r="I477" s="231">
        <f t="shared" si="78"/>
        <v>188400</v>
      </c>
      <c r="J477" s="231">
        <f t="shared" si="78"/>
        <v>192700</v>
      </c>
    </row>
    <row r="478" spans="1:10" ht="12.75" customHeight="1" x14ac:dyDescent="0.2">
      <c r="A478" s="233"/>
      <c r="B478" s="233" t="s">
        <v>1603</v>
      </c>
      <c r="C478" s="233"/>
      <c r="D478" s="233"/>
      <c r="E478" s="231">
        <f t="shared" ref="E478:J478" si="79">E351</f>
        <v>696282</v>
      </c>
      <c r="F478" s="231">
        <f t="shared" si="79"/>
        <v>733900</v>
      </c>
      <c r="G478" s="231">
        <f t="shared" si="79"/>
        <v>751900</v>
      </c>
      <c r="H478" s="231">
        <f t="shared" si="79"/>
        <v>754500</v>
      </c>
      <c r="I478" s="231">
        <f t="shared" si="79"/>
        <v>766600</v>
      </c>
      <c r="J478" s="231">
        <f t="shared" si="79"/>
        <v>776300</v>
      </c>
    </row>
    <row r="479" spans="1:10" ht="12.75" customHeight="1" x14ac:dyDescent="0.2">
      <c r="A479" s="222"/>
      <c r="B479" s="222" t="s">
        <v>1604</v>
      </c>
      <c r="C479" s="222"/>
      <c r="D479" s="222"/>
      <c r="E479" s="231">
        <f t="shared" ref="E479:J479" si="80">E411</f>
        <v>390450</v>
      </c>
      <c r="F479" s="231">
        <f t="shared" si="80"/>
        <v>395900</v>
      </c>
      <c r="G479" s="231">
        <f t="shared" si="80"/>
        <v>395900</v>
      </c>
      <c r="H479" s="231">
        <f t="shared" si="80"/>
        <v>412500</v>
      </c>
      <c r="I479" s="231">
        <f t="shared" si="80"/>
        <v>414500</v>
      </c>
      <c r="J479" s="231">
        <f t="shared" si="80"/>
        <v>416700</v>
      </c>
    </row>
    <row r="480" spans="1:10" ht="12.75" customHeight="1" thickBot="1" x14ac:dyDescent="0.25">
      <c r="A480" s="222"/>
      <c r="B480" s="222"/>
      <c r="C480" s="229" t="s">
        <v>385</v>
      </c>
      <c r="D480" s="235"/>
      <c r="E480" s="236">
        <f t="shared" ref="E480:J480" si="81">SUM(E474:E479)</f>
        <v>5183848.5</v>
      </c>
      <c r="F480" s="236">
        <f t="shared" si="81"/>
        <v>5524300</v>
      </c>
      <c r="G480" s="236">
        <f t="shared" si="81"/>
        <v>5480000</v>
      </c>
      <c r="H480" s="236">
        <f t="shared" si="81"/>
        <v>5889200</v>
      </c>
      <c r="I480" s="236">
        <f t="shared" si="81"/>
        <v>6049900</v>
      </c>
      <c r="J480" s="236">
        <f t="shared" si="81"/>
        <v>6128900</v>
      </c>
    </row>
    <row r="481" spans="1:10" ht="12.75" customHeight="1" x14ac:dyDescent="0.2">
      <c r="A481" s="237" t="s">
        <v>196</v>
      </c>
      <c r="B481" s="237"/>
      <c r="C481" s="233"/>
      <c r="D481" s="238"/>
      <c r="E481" s="242"/>
      <c r="F481" s="242"/>
      <c r="G481" s="242"/>
      <c r="H481" s="242"/>
      <c r="I481" s="242"/>
      <c r="J481" s="242"/>
    </row>
    <row r="482" spans="1:10" ht="12.75" customHeight="1" x14ac:dyDescent="0.2">
      <c r="A482" s="222"/>
      <c r="B482" s="222" t="s">
        <v>501</v>
      </c>
      <c r="C482" s="222"/>
      <c r="D482" s="222"/>
      <c r="E482" s="231">
        <f t="shared" ref="E482:J482" si="82">E85</f>
        <v>0</v>
      </c>
      <c r="F482" s="231">
        <f t="shared" si="82"/>
        <v>0</v>
      </c>
      <c r="G482" s="231">
        <f t="shared" si="82"/>
        <v>0</v>
      </c>
      <c r="H482" s="231">
        <f t="shared" si="82"/>
        <v>0</v>
      </c>
      <c r="I482" s="231">
        <f t="shared" si="82"/>
        <v>0</v>
      </c>
      <c r="J482" s="231">
        <f t="shared" si="82"/>
        <v>0</v>
      </c>
    </row>
    <row r="483" spans="1:10" ht="12.75" customHeight="1" x14ac:dyDescent="0.2">
      <c r="A483" s="222"/>
      <c r="B483" s="222" t="s">
        <v>1600</v>
      </c>
      <c r="C483" s="222"/>
      <c r="D483" s="222"/>
      <c r="E483" s="231">
        <f t="shared" ref="E483:J483" si="83">E159</f>
        <v>46083.3</v>
      </c>
      <c r="F483" s="231">
        <f t="shared" si="83"/>
        <v>63400</v>
      </c>
      <c r="G483" s="231">
        <f t="shared" si="83"/>
        <v>73400</v>
      </c>
      <c r="H483" s="231">
        <f t="shared" si="83"/>
        <v>68200</v>
      </c>
      <c r="I483" s="231">
        <f t="shared" si="83"/>
        <v>68200</v>
      </c>
      <c r="J483" s="231">
        <f t="shared" si="83"/>
        <v>68200</v>
      </c>
    </row>
    <row r="484" spans="1:10" ht="12.75" customHeight="1" x14ac:dyDescent="0.2">
      <c r="A484" s="222"/>
      <c r="B484" s="222" t="s">
        <v>1601</v>
      </c>
      <c r="C484" s="222"/>
      <c r="D484" s="222"/>
      <c r="E484" s="231">
        <f t="shared" ref="E484:J484" si="84">E221</f>
        <v>151617.93</v>
      </c>
      <c r="F484" s="231">
        <f t="shared" si="84"/>
        <v>115100</v>
      </c>
      <c r="G484" s="231">
        <f t="shared" si="84"/>
        <v>115100</v>
      </c>
      <c r="H484" s="231">
        <f t="shared" si="84"/>
        <v>166800</v>
      </c>
      <c r="I484" s="231">
        <f t="shared" si="84"/>
        <v>168300</v>
      </c>
      <c r="J484" s="231">
        <f t="shared" si="84"/>
        <v>169800</v>
      </c>
    </row>
    <row r="485" spans="1:10" ht="12.75" customHeight="1" x14ac:dyDescent="0.2">
      <c r="A485" s="222"/>
      <c r="B485" s="222" t="s">
        <v>1602</v>
      </c>
      <c r="C485" s="222"/>
      <c r="D485" s="222"/>
      <c r="E485" s="231">
        <f t="shared" ref="E485:J485" si="85">E291</f>
        <v>0</v>
      </c>
      <c r="F485" s="231">
        <f t="shared" si="85"/>
        <v>0</v>
      </c>
      <c r="G485" s="231">
        <f t="shared" si="85"/>
        <v>0</v>
      </c>
      <c r="H485" s="231">
        <f t="shared" si="85"/>
        <v>0</v>
      </c>
      <c r="I485" s="231">
        <f t="shared" si="85"/>
        <v>0</v>
      </c>
      <c r="J485" s="231">
        <f t="shared" si="85"/>
        <v>0</v>
      </c>
    </row>
    <row r="486" spans="1:10" ht="12.75" customHeight="1" x14ac:dyDescent="0.2">
      <c r="A486" s="222"/>
      <c r="B486" s="233" t="s">
        <v>1603</v>
      </c>
      <c r="C486" s="233"/>
      <c r="D486" s="233"/>
      <c r="E486" s="231">
        <f t="shared" ref="E486:J486" si="86">E352</f>
        <v>0</v>
      </c>
      <c r="F486" s="231">
        <f t="shared" si="86"/>
        <v>0</v>
      </c>
      <c r="G486" s="231">
        <f t="shared" si="86"/>
        <v>0</v>
      </c>
      <c r="H486" s="231">
        <f t="shared" si="86"/>
        <v>0</v>
      </c>
      <c r="I486" s="231">
        <f t="shared" si="86"/>
        <v>0</v>
      </c>
      <c r="J486" s="231">
        <f t="shared" si="86"/>
        <v>0</v>
      </c>
    </row>
    <row r="487" spans="1:10" ht="12.75" customHeight="1" x14ac:dyDescent="0.2">
      <c r="A487" s="222"/>
      <c r="B487" s="222" t="s">
        <v>1604</v>
      </c>
      <c r="C487" s="222"/>
      <c r="D487" s="222"/>
      <c r="E487" s="231">
        <f t="shared" ref="E487:J487" si="87">E412</f>
        <v>0</v>
      </c>
      <c r="F487" s="231">
        <f t="shared" si="87"/>
        <v>0</v>
      </c>
      <c r="G487" s="231">
        <f t="shared" si="87"/>
        <v>0</v>
      </c>
      <c r="H487" s="231">
        <f t="shared" si="87"/>
        <v>0</v>
      </c>
      <c r="I487" s="231">
        <f t="shared" si="87"/>
        <v>0</v>
      </c>
      <c r="J487" s="231">
        <f t="shared" si="87"/>
        <v>0</v>
      </c>
    </row>
    <row r="488" spans="1:10" ht="12.75" customHeight="1" thickBot="1" x14ac:dyDescent="0.25">
      <c r="A488" s="229"/>
      <c r="B488" s="229"/>
      <c r="C488" s="229" t="s">
        <v>386</v>
      </c>
      <c r="D488" s="239"/>
      <c r="E488" s="236">
        <f t="shared" ref="E488:J488" si="88">SUM(E482:E487)</f>
        <v>197701.22999999998</v>
      </c>
      <c r="F488" s="236">
        <f t="shared" si="88"/>
        <v>178500</v>
      </c>
      <c r="G488" s="236">
        <f t="shared" si="88"/>
        <v>188500</v>
      </c>
      <c r="H488" s="236">
        <f t="shared" si="88"/>
        <v>235000</v>
      </c>
      <c r="I488" s="236">
        <f t="shared" si="88"/>
        <v>236500</v>
      </c>
      <c r="J488" s="236">
        <f t="shared" si="88"/>
        <v>238000</v>
      </c>
    </row>
    <row r="489" spans="1:10" ht="12.75" customHeight="1" x14ac:dyDescent="0.2">
      <c r="A489" s="229" t="s">
        <v>387</v>
      </c>
      <c r="B489" s="222"/>
      <c r="C489" s="222"/>
      <c r="D489" s="240"/>
      <c r="E489" s="241"/>
      <c r="F489" s="241"/>
      <c r="G489" s="241"/>
      <c r="H489" s="241"/>
      <c r="I489" s="241"/>
      <c r="J489" s="241"/>
    </row>
    <row r="490" spans="1:10" ht="12.75" customHeight="1" x14ac:dyDescent="0.2">
      <c r="A490" s="222"/>
      <c r="B490" s="222" t="s">
        <v>501</v>
      </c>
      <c r="C490" s="222"/>
      <c r="D490" s="222"/>
      <c r="E490" s="231">
        <f t="shared" ref="E490:J490" si="89">E86</f>
        <v>242336.66</v>
      </c>
      <c r="F490" s="231">
        <f t="shared" si="89"/>
        <v>255600</v>
      </c>
      <c r="G490" s="231">
        <f t="shared" si="89"/>
        <v>255600</v>
      </c>
      <c r="H490" s="231">
        <f t="shared" si="89"/>
        <v>255600</v>
      </c>
      <c r="I490" s="231">
        <f t="shared" si="89"/>
        <v>255600</v>
      </c>
      <c r="J490" s="231">
        <f t="shared" si="89"/>
        <v>255600</v>
      </c>
    </row>
    <row r="491" spans="1:10" ht="12.75" customHeight="1" x14ac:dyDescent="0.2">
      <c r="A491" s="222"/>
      <c r="B491" s="222" t="s">
        <v>1600</v>
      </c>
      <c r="C491" s="222"/>
      <c r="D491" s="222"/>
      <c r="E491" s="231">
        <f t="shared" ref="E491:J491" si="90">E160</f>
        <v>15963</v>
      </c>
      <c r="F491" s="231">
        <f t="shared" si="90"/>
        <v>17500</v>
      </c>
      <c r="G491" s="231">
        <f t="shared" si="90"/>
        <v>17500</v>
      </c>
      <c r="H491" s="231">
        <f t="shared" si="90"/>
        <v>17500</v>
      </c>
      <c r="I491" s="231">
        <f t="shared" si="90"/>
        <v>17500</v>
      </c>
      <c r="J491" s="231">
        <f t="shared" si="90"/>
        <v>17500</v>
      </c>
    </row>
    <row r="492" spans="1:10" ht="12.75" customHeight="1" x14ac:dyDescent="0.2">
      <c r="A492" s="222"/>
      <c r="B492" s="222" t="s">
        <v>1601</v>
      </c>
      <c r="C492" s="222"/>
      <c r="D492" s="222"/>
      <c r="E492" s="231">
        <f t="shared" ref="E492:J492" si="91">E222</f>
        <v>24060</v>
      </c>
      <c r="F492" s="231">
        <f t="shared" si="91"/>
        <v>34800</v>
      </c>
      <c r="G492" s="231">
        <f t="shared" si="91"/>
        <v>34800</v>
      </c>
      <c r="H492" s="231">
        <f t="shared" si="91"/>
        <v>34800</v>
      </c>
      <c r="I492" s="231">
        <f t="shared" si="91"/>
        <v>34800</v>
      </c>
      <c r="J492" s="231">
        <f t="shared" si="91"/>
        <v>34800</v>
      </c>
    </row>
    <row r="493" spans="1:10" ht="12.75" customHeight="1" x14ac:dyDescent="0.2">
      <c r="A493" s="222"/>
      <c r="B493" s="222" t="s">
        <v>1602</v>
      </c>
      <c r="C493" s="222"/>
      <c r="D493" s="222"/>
      <c r="E493" s="231">
        <f t="shared" ref="E493:J493" si="92">E292</f>
        <v>9600</v>
      </c>
      <c r="F493" s="231">
        <f t="shared" si="92"/>
        <v>9600</v>
      </c>
      <c r="G493" s="231">
        <f t="shared" si="92"/>
        <v>9600</v>
      </c>
      <c r="H493" s="231">
        <f t="shared" si="92"/>
        <v>9600</v>
      </c>
      <c r="I493" s="231">
        <f t="shared" si="92"/>
        <v>9600</v>
      </c>
      <c r="J493" s="231">
        <f t="shared" si="92"/>
        <v>9600</v>
      </c>
    </row>
    <row r="494" spans="1:10" ht="12.75" customHeight="1" x14ac:dyDescent="0.2">
      <c r="A494" s="222"/>
      <c r="B494" s="233" t="s">
        <v>1603</v>
      </c>
      <c r="C494" s="233"/>
      <c r="D494" s="233"/>
      <c r="E494" s="231">
        <f t="shared" ref="E494:J494" si="93">E353</f>
        <v>3300</v>
      </c>
      <c r="F494" s="231">
        <f t="shared" si="93"/>
        <v>4400</v>
      </c>
      <c r="G494" s="231">
        <f t="shared" si="93"/>
        <v>4400</v>
      </c>
      <c r="H494" s="231">
        <f t="shared" si="93"/>
        <v>4400</v>
      </c>
      <c r="I494" s="231">
        <f t="shared" si="93"/>
        <v>4400</v>
      </c>
      <c r="J494" s="231">
        <f t="shared" si="93"/>
        <v>4400</v>
      </c>
    </row>
    <row r="495" spans="1:10" ht="12.75" customHeight="1" x14ac:dyDescent="0.2">
      <c r="A495" s="222"/>
      <c r="B495" s="222" t="s">
        <v>1604</v>
      </c>
      <c r="C495" s="222"/>
      <c r="D495" s="222"/>
      <c r="E495" s="231">
        <f t="shared" ref="E495:J495" si="94">E413</f>
        <v>59040</v>
      </c>
      <c r="F495" s="231">
        <f t="shared" si="94"/>
        <v>61600</v>
      </c>
      <c r="G495" s="231">
        <f t="shared" si="94"/>
        <v>65600</v>
      </c>
      <c r="H495" s="231">
        <f t="shared" si="94"/>
        <v>71900</v>
      </c>
      <c r="I495" s="231">
        <f t="shared" si="94"/>
        <v>71900</v>
      </c>
      <c r="J495" s="231">
        <f t="shared" si="94"/>
        <v>71900</v>
      </c>
    </row>
    <row r="496" spans="1:10" ht="12.75" customHeight="1" thickBot="1" x14ac:dyDescent="0.25">
      <c r="A496" s="222"/>
      <c r="B496" s="222"/>
      <c r="C496" s="229" t="s">
        <v>388</v>
      </c>
      <c r="D496" s="240"/>
      <c r="E496" s="236">
        <f t="shared" ref="E496:J496" si="95">SUM(E490:E495)</f>
        <v>354299.66000000003</v>
      </c>
      <c r="F496" s="236">
        <f t="shared" si="95"/>
        <v>383500</v>
      </c>
      <c r="G496" s="236">
        <f t="shared" si="95"/>
        <v>387500</v>
      </c>
      <c r="H496" s="236">
        <f t="shared" si="95"/>
        <v>393800</v>
      </c>
      <c r="I496" s="236">
        <f t="shared" si="95"/>
        <v>393800</v>
      </c>
      <c r="J496" s="236">
        <f t="shared" si="95"/>
        <v>393800</v>
      </c>
    </row>
    <row r="497" spans="1:10" ht="12.75" customHeight="1" x14ac:dyDescent="0.2">
      <c r="A497" s="229" t="s">
        <v>198</v>
      </c>
      <c r="B497" s="229"/>
      <c r="C497" s="222"/>
      <c r="D497" s="240"/>
      <c r="E497" s="242"/>
      <c r="F497" s="242"/>
      <c r="G497" s="242"/>
      <c r="H497" s="242"/>
      <c r="I497" s="242"/>
      <c r="J497" s="242"/>
    </row>
    <row r="498" spans="1:10" ht="12.75" customHeight="1" x14ac:dyDescent="0.2">
      <c r="A498" s="222"/>
      <c r="B498" s="222" t="s">
        <v>501</v>
      </c>
      <c r="C498" s="222"/>
      <c r="D498" s="222"/>
      <c r="E498" s="231">
        <f t="shared" ref="E498:J498" si="96">E87</f>
        <v>27427.5</v>
      </c>
      <c r="F498" s="231">
        <f t="shared" si="96"/>
        <v>0</v>
      </c>
      <c r="G498" s="231">
        <f t="shared" si="96"/>
        <v>0</v>
      </c>
      <c r="H498" s="231">
        <f t="shared" si="96"/>
        <v>9200</v>
      </c>
      <c r="I498" s="231">
        <f t="shared" si="96"/>
        <v>0</v>
      </c>
      <c r="J498" s="231">
        <f t="shared" si="96"/>
        <v>9200</v>
      </c>
    </row>
    <row r="499" spans="1:10" ht="12.75" customHeight="1" x14ac:dyDescent="0.2">
      <c r="A499" s="222"/>
      <c r="B499" s="222" t="s">
        <v>1600</v>
      </c>
      <c r="C499" s="222"/>
      <c r="D499" s="222"/>
      <c r="E499" s="231">
        <f t="shared" ref="E499:J499" si="97">E161</f>
        <v>0</v>
      </c>
      <c r="F499" s="231">
        <f t="shared" si="97"/>
        <v>0</v>
      </c>
      <c r="G499" s="231">
        <f t="shared" si="97"/>
        <v>0</v>
      </c>
      <c r="H499" s="231">
        <f t="shared" si="97"/>
        <v>0</v>
      </c>
      <c r="I499" s="231">
        <f t="shared" si="97"/>
        <v>0</v>
      </c>
      <c r="J499" s="231">
        <f t="shared" si="97"/>
        <v>0</v>
      </c>
    </row>
    <row r="500" spans="1:10" ht="12.75" customHeight="1" x14ac:dyDescent="0.2">
      <c r="A500" s="222"/>
      <c r="B500" s="222" t="s">
        <v>1601</v>
      </c>
      <c r="C500" s="222"/>
      <c r="D500" s="222"/>
      <c r="E500" s="231">
        <f t="shared" ref="E500:J500" si="98">E223</f>
        <v>69713.13</v>
      </c>
      <c r="F500" s="231">
        <f t="shared" si="98"/>
        <v>63400</v>
      </c>
      <c r="G500" s="231">
        <f t="shared" si="98"/>
        <v>0</v>
      </c>
      <c r="H500" s="231">
        <f t="shared" si="98"/>
        <v>44800</v>
      </c>
      <c r="I500" s="231">
        <f t="shared" si="98"/>
        <v>69800</v>
      </c>
      <c r="J500" s="231">
        <f t="shared" si="98"/>
        <v>44800</v>
      </c>
    </row>
    <row r="501" spans="1:10" ht="12.75" customHeight="1" x14ac:dyDescent="0.2">
      <c r="A501" s="222"/>
      <c r="B501" s="222" t="s">
        <v>1602</v>
      </c>
      <c r="C501" s="222"/>
      <c r="D501" s="222"/>
      <c r="E501" s="231">
        <f t="shared" ref="E501:J501" si="99">E293</f>
        <v>0</v>
      </c>
      <c r="F501" s="231">
        <f t="shared" si="99"/>
        <v>0</v>
      </c>
      <c r="G501" s="231">
        <f t="shared" si="99"/>
        <v>0</v>
      </c>
      <c r="H501" s="231">
        <f t="shared" si="99"/>
        <v>0</v>
      </c>
      <c r="I501" s="231">
        <f t="shared" si="99"/>
        <v>0</v>
      </c>
      <c r="J501" s="231">
        <f t="shared" si="99"/>
        <v>0</v>
      </c>
    </row>
    <row r="502" spans="1:10" ht="12.75" customHeight="1" x14ac:dyDescent="0.2">
      <c r="A502" s="222"/>
      <c r="B502" s="233" t="s">
        <v>1603</v>
      </c>
      <c r="C502" s="233"/>
      <c r="D502" s="233"/>
      <c r="E502" s="231">
        <f t="shared" ref="E502:J502" si="100">E354</f>
        <v>0</v>
      </c>
      <c r="F502" s="231">
        <f t="shared" si="100"/>
        <v>0</v>
      </c>
      <c r="G502" s="231">
        <f t="shared" si="100"/>
        <v>0</v>
      </c>
      <c r="H502" s="231">
        <f t="shared" si="100"/>
        <v>0</v>
      </c>
      <c r="I502" s="231">
        <f t="shared" si="100"/>
        <v>0</v>
      </c>
      <c r="J502" s="231">
        <f t="shared" si="100"/>
        <v>0</v>
      </c>
    </row>
    <row r="503" spans="1:10" ht="12.75" customHeight="1" x14ac:dyDescent="0.2">
      <c r="A503" s="222"/>
      <c r="B503" s="222" t="s">
        <v>1604</v>
      </c>
      <c r="C503" s="222"/>
      <c r="D503" s="222"/>
      <c r="E503" s="231">
        <f t="shared" ref="E503:J503" si="101">E414</f>
        <v>0</v>
      </c>
      <c r="F503" s="231">
        <f t="shared" si="101"/>
        <v>0</v>
      </c>
      <c r="G503" s="231">
        <f t="shared" si="101"/>
        <v>0</v>
      </c>
      <c r="H503" s="231">
        <f t="shared" si="101"/>
        <v>0</v>
      </c>
      <c r="I503" s="231">
        <f t="shared" si="101"/>
        <v>0</v>
      </c>
      <c r="J503" s="231">
        <f t="shared" si="101"/>
        <v>0</v>
      </c>
    </row>
    <row r="504" spans="1:10" ht="12.75" customHeight="1" x14ac:dyDescent="0.2">
      <c r="A504" s="222"/>
      <c r="B504" s="222"/>
      <c r="C504" s="229" t="s">
        <v>389</v>
      </c>
      <c r="D504" s="240"/>
      <c r="E504" s="236">
        <f t="shared" ref="E504:J504" si="102">SUM(E498:E503)</f>
        <v>97140.63</v>
      </c>
      <c r="F504" s="236">
        <f t="shared" si="102"/>
        <v>63400</v>
      </c>
      <c r="G504" s="236">
        <f t="shared" si="102"/>
        <v>0</v>
      </c>
      <c r="H504" s="236">
        <f t="shared" si="102"/>
        <v>54000</v>
      </c>
      <c r="I504" s="236">
        <f t="shared" si="102"/>
        <v>69800</v>
      </c>
      <c r="J504" s="236">
        <f t="shared" si="102"/>
        <v>54000</v>
      </c>
    </row>
    <row r="505" spans="1:10" ht="12.75" customHeight="1" x14ac:dyDescent="0.2">
      <c r="A505" s="243" t="s">
        <v>296</v>
      </c>
      <c r="B505" s="229"/>
      <c r="C505" s="222"/>
      <c r="D505" s="240"/>
      <c r="E505" s="230"/>
      <c r="F505" s="230"/>
      <c r="G505" s="230"/>
      <c r="H505" s="230"/>
      <c r="I505" s="230"/>
      <c r="J505" s="230"/>
    </row>
    <row r="506" spans="1:10" ht="12.75" customHeight="1" x14ac:dyDescent="0.2">
      <c r="A506" s="233"/>
      <c r="B506" s="222" t="s">
        <v>501</v>
      </c>
      <c r="C506" s="222"/>
      <c r="D506" s="222"/>
      <c r="E506" s="231">
        <f t="shared" ref="E506:J506" si="103">E105</f>
        <v>917147.50000000023</v>
      </c>
      <c r="F506" s="231">
        <f t="shared" si="103"/>
        <v>1834900</v>
      </c>
      <c r="G506" s="231">
        <f t="shared" si="103"/>
        <v>1899900</v>
      </c>
      <c r="H506" s="231">
        <f t="shared" si="103"/>
        <v>2299900</v>
      </c>
      <c r="I506" s="231">
        <f t="shared" si="103"/>
        <v>2299900</v>
      </c>
      <c r="J506" s="231">
        <f t="shared" si="103"/>
        <v>2299900</v>
      </c>
    </row>
    <row r="507" spans="1:10" ht="12.75" customHeight="1" x14ac:dyDescent="0.2">
      <c r="A507" s="233"/>
      <c r="B507" s="222" t="s">
        <v>1600</v>
      </c>
      <c r="C507" s="222"/>
      <c r="D507" s="222"/>
      <c r="E507" s="231">
        <f t="shared" ref="E507:J507" si="104">E171</f>
        <v>139087.44</v>
      </c>
      <c r="F507" s="231">
        <f t="shared" si="104"/>
        <v>145500</v>
      </c>
      <c r="G507" s="231">
        <f t="shared" si="104"/>
        <v>155500</v>
      </c>
      <c r="H507" s="231">
        <f t="shared" si="104"/>
        <v>160500</v>
      </c>
      <c r="I507" s="231">
        <f t="shared" si="104"/>
        <v>160500</v>
      </c>
      <c r="J507" s="231">
        <f t="shared" si="104"/>
        <v>160500</v>
      </c>
    </row>
    <row r="508" spans="1:10" ht="12.75" customHeight="1" x14ac:dyDescent="0.2">
      <c r="A508" s="233"/>
      <c r="B508" s="222" t="s">
        <v>1601</v>
      </c>
      <c r="C508" s="222"/>
      <c r="D508" s="222"/>
      <c r="E508" s="231">
        <f t="shared" ref="E508:J508" si="105">E235</f>
        <v>400919.52000000008</v>
      </c>
      <c r="F508" s="231">
        <f t="shared" si="105"/>
        <v>534500</v>
      </c>
      <c r="G508" s="231">
        <f t="shared" si="105"/>
        <v>520500</v>
      </c>
      <c r="H508" s="231">
        <f t="shared" si="105"/>
        <v>549500</v>
      </c>
      <c r="I508" s="231">
        <f t="shared" si="105"/>
        <v>549500</v>
      </c>
      <c r="J508" s="231">
        <f t="shared" si="105"/>
        <v>549500</v>
      </c>
    </row>
    <row r="509" spans="1:10" ht="12.75" customHeight="1" x14ac:dyDescent="0.2">
      <c r="A509" s="233"/>
      <c r="B509" s="222" t="s">
        <v>1602</v>
      </c>
      <c r="C509" s="222"/>
      <c r="D509" s="222"/>
      <c r="E509" s="231">
        <f t="shared" ref="E509:J509" si="106">E305</f>
        <v>147388.48000000001</v>
      </c>
      <c r="F509" s="231">
        <f t="shared" si="106"/>
        <v>174000</v>
      </c>
      <c r="G509" s="231">
        <f t="shared" si="106"/>
        <v>174000</v>
      </c>
      <c r="H509" s="231">
        <f t="shared" si="106"/>
        <v>169000</v>
      </c>
      <c r="I509" s="231">
        <f t="shared" si="106"/>
        <v>169000</v>
      </c>
      <c r="J509" s="231">
        <f t="shared" si="106"/>
        <v>169000</v>
      </c>
    </row>
    <row r="510" spans="1:10" ht="12.75" customHeight="1" x14ac:dyDescent="0.2">
      <c r="A510" s="222"/>
      <c r="B510" s="233" t="s">
        <v>1603</v>
      </c>
      <c r="C510" s="233"/>
      <c r="D510" s="233"/>
      <c r="E510" s="231">
        <f t="shared" ref="E510:J510" si="107">E364</f>
        <v>115147.4</v>
      </c>
      <c r="F510" s="231">
        <f t="shared" si="107"/>
        <v>132900</v>
      </c>
      <c r="G510" s="231">
        <f t="shared" si="107"/>
        <v>132900</v>
      </c>
      <c r="H510" s="231">
        <f t="shared" si="107"/>
        <v>130900</v>
      </c>
      <c r="I510" s="231">
        <f t="shared" si="107"/>
        <v>130900</v>
      </c>
      <c r="J510" s="231">
        <f t="shared" si="107"/>
        <v>130900</v>
      </c>
    </row>
    <row r="511" spans="1:10" ht="12.75" customHeight="1" x14ac:dyDescent="0.2">
      <c r="A511" s="233"/>
      <c r="B511" s="222" t="s">
        <v>1604</v>
      </c>
      <c r="C511" s="222"/>
      <c r="D511" s="222"/>
      <c r="E511" s="231">
        <f t="shared" ref="E511:J511" si="108">E431</f>
        <v>838001.82000000007</v>
      </c>
      <c r="F511" s="231">
        <f t="shared" si="108"/>
        <v>1005500</v>
      </c>
      <c r="G511" s="231">
        <f t="shared" si="108"/>
        <v>995500</v>
      </c>
      <c r="H511" s="231">
        <f t="shared" si="108"/>
        <v>995500</v>
      </c>
      <c r="I511" s="231">
        <f t="shared" si="108"/>
        <v>995500</v>
      </c>
      <c r="J511" s="231">
        <f t="shared" si="108"/>
        <v>995500</v>
      </c>
    </row>
    <row r="512" spans="1:10" ht="12.75" customHeight="1" thickBot="1" x14ac:dyDescent="0.25">
      <c r="A512" s="222"/>
      <c r="B512" s="222"/>
      <c r="C512" s="222" t="s">
        <v>390</v>
      </c>
      <c r="D512" s="235"/>
      <c r="E512" s="236">
        <f t="shared" ref="E512:J512" si="109">SUM(E506:E511)</f>
        <v>2557692.16</v>
      </c>
      <c r="F512" s="236">
        <f t="shared" si="109"/>
        <v>3827300</v>
      </c>
      <c r="G512" s="236">
        <f t="shared" si="109"/>
        <v>3878300</v>
      </c>
      <c r="H512" s="236">
        <f t="shared" si="109"/>
        <v>4305300</v>
      </c>
      <c r="I512" s="236">
        <f t="shared" si="109"/>
        <v>4305300</v>
      </c>
      <c r="J512" s="236">
        <f t="shared" si="109"/>
        <v>4305300</v>
      </c>
    </row>
    <row r="513" spans="1:10" ht="11.45" customHeight="1" x14ac:dyDescent="0.2">
      <c r="A513" s="244" t="s">
        <v>15</v>
      </c>
      <c r="B513" s="222"/>
      <c r="C513" s="222"/>
      <c r="D513" s="240"/>
      <c r="E513" s="242"/>
      <c r="F513" s="242"/>
      <c r="G513" s="242"/>
      <c r="H513" s="242"/>
      <c r="I513" s="242"/>
      <c r="J513" s="242"/>
    </row>
    <row r="514" spans="1:10" ht="12.75" customHeight="1" x14ac:dyDescent="0.2">
      <c r="A514" s="233"/>
      <c r="B514" s="222" t="s">
        <v>501</v>
      </c>
      <c r="C514" s="222"/>
      <c r="D514" s="222"/>
      <c r="E514" s="231">
        <f t="shared" ref="E514:J514" si="110">E114</f>
        <v>0</v>
      </c>
      <c r="F514" s="231">
        <f t="shared" si="110"/>
        <v>0</v>
      </c>
      <c r="G514" s="231">
        <f t="shared" si="110"/>
        <v>901700</v>
      </c>
      <c r="H514" s="231">
        <f t="shared" si="110"/>
        <v>0</v>
      </c>
      <c r="I514" s="231">
        <f t="shared" si="110"/>
        <v>0</v>
      </c>
      <c r="J514" s="231">
        <f t="shared" si="110"/>
        <v>0</v>
      </c>
    </row>
    <row r="515" spans="1:10" ht="12.75" customHeight="1" x14ac:dyDescent="0.2">
      <c r="A515" s="233"/>
      <c r="B515" s="222" t="s">
        <v>1600</v>
      </c>
      <c r="C515" s="222"/>
      <c r="D515" s="222"/>
      <c r="E515" s="231">
        <f t="shared" ref="E515:J515" si="111">E179</f>
        <v>0</v>
      </c>
      <c r="F515" s="231">
        <f t="shared" si="111"/>
        <v>0</v>
      </c>
      <c r="G515" s="231">
        <f t="shared" si="111"/>
        <v>0</v>
      </c>
      <c r="H515" s="231">
        <f t="shared" si="111"/>
        <v>0</v>
      </c>
      <c r="I515" s="231">
        <f t="shared" si="111"/>
        <v>0</v>
      </c>
      <c r="J515" s="231">
        <f t="shared" si="111"/>
        <v>0</v>
      </c>
    </row>
    <row r="516" spans="1:10" ht="12.75" customHeight="1" x14ac:dyDescent="0.2">
      <c r="A516" s="233"/>
      <c r="B516" s="222" t="s">
        <v>1601</v>
      </c>
      <c r="C516" s="222"/>
      <c r="D516" s="222"/>
      <c r="E516" s="231">
        <f t="shared" ref="E516:J516" si="112">E243</f>
        <v>0</v>
      </c>
      <c r="F516" s="231">
        <f t="shared" si="112"/>
        <v>0</v>
      </c>
      <c r="G516" s="231">
        <f t="shared" si="112"/>
        <v>0</v>
      </c>
      <c r="H516" s="231">
        <f t="shared" si="112"/>
        <v>0</v>
      </c>
      <c r="I516" s="231">
        <f t="shared" si="112"/>
        <v>0</v>
      </c>
      <c r="J516" s="231">
        <f t="shared" si="112"/>
        <v>0</v>
      </c>
    </row>
    <row r="517" spans="1:10" ht="12.75" customHeight="1" x14ac:dyDescent="0.2">
      <c r="A517" s="233"/>
      <c r="B517" s="222" t="s">
        <v>1602</v>
      </c>
      <c r="C517" s="222"/>
      <c r="D517" s="222"/>
      <c r="E517" s="231">
        <f t="shared" ref="E517:J517" si="113">E313</f>
        <v>0</v>
      </c>
      <c r="F517" s="231">
        <f t="shared" si="113"/>
        <v>0</v>
      </c>
      <c r="G517" s="231">
        <f t="shared" si="113"/>
        <v>0</v>
      </c>
      <c r="H517" s="231">
        <f t="shared" si="113"/>
        <v>0</v>
      </c>
      <c r="I517" s="231">
        <f t="shared" si="113"/>
        <v>0</v>
      </c>
      <c r="J517" s="231">
        <f t="shared" si="113"/>
        <v>0</v>
      </c>
    </row>
    <row r="518" spans="1:10" x14ac:dyDescent="0.2">
      <c r="A518" s="233"/>
      <c r="B518" s="233" t="s">
        <v>1603</v>
      </c>
      <c r="C518" s="233"/>
      <c r="D518" s="233"/>
      <c r="E518" s="231">
        <f t="shared" ref="E518:J518" si="114">E371</f>
        <v>0</v>
      </c>
      <c r="F518" s="231">
        <f t="shared" si="114"/>
        <v>0</v>
      </c>
      <c r="G518" s="231">
        <f t="shared" si="114"/>
        <v>0</v>
      </c>
      <c r="H518" s="231">
        <f t="shared" si="114"/>
        <v>0</v>
      </c>
      <c r="I518" s="231">
        <f t="shared" si="114"/>
        <v>0</v>
      </c>
      <c r="J518" s="231">
        <f t="shared" si="114"/>
        <v>0</v>
      </c>
    </row>
    <row r="519" spans="1:10" x14ac:dyDescent="0.2">
      <c r="A519" s="233"/>
      <c r="B519" s="222" t="s">
        <v>1604</v>
      </c>
      <c r="C519" s="222"/>
      <c r="D519" s="222"/>
      <c r="E519" s="231">
        <f t="shared" ref="E519:J519" si="115">E439</f>
        <v>0</v>
      </c>
      <c r="F519" s="231">
        <f t="shared" si="115"/>
        <v>0</v>
      </c>
      <c r="G519" s="231">
        <f t="shared" si="115"/>
        <v>0</v>
      </c>
      <c r="H519" s="231">
        <f t="shared" si="115"/>
        <v>0</v>
      </c>
      <c r="I519" s="231">
        <f t="shared" si="115"/>
        <v>0</v>
      </c>
      <c r="J519" s="231">
        <f t="shared" si="115"/>
        <v>0</v>
      </c>
    </row>
    <row r="520" spans="1:10" ht="15" thickBot="1" x14ac:dyDescent="0.25">
      <c r="A520" s="243"/>
      <c r="B520" s="243" t="s">
        <v>69</v>
      </c>
      <c r="C520" s="240"/>
      <c r="D520" s="222"/>
      <c r="E520" s="236">
        <f t="shared" ref="E520:J520" si="116">SUM(E514:E519)</f>
        <v>0</v>
      </c>
      <c r="F520" s="236">
        <f t="shared" si="116"/>
        <v>0</v>
      </c>
      <c r="G520" s="236">
        <f t="shared" si="116"/>
        <v>901700</v>
      </c>
      <c r="H520" s="236">
        <f t="shared" si="116"/>
        <v>0</v>
      </c>
      <c r="I520" s="236">
        <f t="shared" si="116"/>
        <v>0</v>
      </c>
      <c r="J520" s="236">
        <f t="shared" si="116"/>
        <v>0</v>
      </c>
    </row>
    <row r="521" spans="1:10" x14ac:dyDescent="0.2">
      <c r="A521" s="222"/>
      <c r="B521" s="222"/>
      <c r="C521" s="222"/>
      <c r="D521" s="222"/>
      <c r="E521" s="242"/>
      <c r="F521" s="242"/>
      <c r="G521" s="242"/>
      <c r="H521" s="227"/>
      <c r="I521" s="227"/>
      <c r="J521" s="227"/>
    </row>
    <row r="522" spans="1:10" ht="15" thickBot="1" x14ac:dyDescent="0.25">
      <c r="A522" s="222"/>
      <c r="B522" s="222"/>
      <c r="C522" s="222"/>
      <c r="D522" s="222"/>
      <c r="E522" s="240"/>
      <c r="F522" s="276" t="s">
        <v>391</v>
      </c>
      <c r="G522" s="240"/>
      <c r="H522" s="240"/>
      <c r="I522" s="245"/>
      <c r="J522" s="245"/>
    </row>
    <row r="523" spans="1:10" ht="15" thickTop="1" x14ac:dyDescent="0.2">
      <c r="A523" s="246"/>
      <c r="B523" s="246"/>
      <c r="C523" s="246"/>
      <c r="D523" s="246"/>
      <c r="E523" s="246"/>
      <c r="F523" s="277"/>
      <c r="G523" s="246"/>
      <c r="H523" s="246"/>
      <c r="I523" s="246"/>
      <c r="J523" s="246"/>
    </row>
    <row r="524" spans="1:10" x14ac:dyDescent="0.2">
      <c r="A524" s="247"/>
      <c r="B524" s="247">
        <v>210</v>
      </c>
      <c r="C524" s="222" t="s">
        <v>7</v>
      </c>
      <c r="D524" s="222"/>
      <c r="E524" s="231">
        <f t="shared" ref="E524:J539" si="117">SUMIF($A$59:$A$916,$B524,E$59:E$916)</f>
        <v>5183848.5</v>
      </c>
      <c r="F524" s="231">
        <f t="shared" si="117"/>
        <v>5524300</v>
      </c>
      <c r="G524" s="231">
        <f t="shared" si="117"/>
        <v>5480000</v>
      </c>
      <c r="H524" s="231">
        <f t="shared" si="117"/>
        <v>5889200</v>
      </c>
      <c r="I524" s="231">
        <f t="shared" si="117"/>
        <v>6049900</v>
      </c>
      <c r="J524" s="231">
        <f t="shared" si="117"/>
        <v>6128900</v>
      </c>
    </row>
    <row r="525" spans="1:10" x14ac:dyDescent="0.2">
      <c r="A525" s="247"/>
      <c r="B525" s="247">
        <v>212</v>
      </c>
      <c r="C525" s="222" t="s">
        <v>9</v>
      </c>
      <c r="D525" s="222"/>
      <c r="E525" s="231">
        <f t="shared" si="117"/>
        <v>197701.22999999998</v>
      </c>
      <c r="F525" s="231">
        <f t="shared" si="117"/>
        <v>178500</v>
      </c>
      <c r="G525" s="231">
        <f t="shared" si="117"/>
        <v>188500</v>
      </c>
      <c r="H525" s="231">
        <f t="shared" si="117"/>
        <v>235000</v>
      </c>
      <c r="I525" s="231">
        <f t="shared" si="117"/>
        <v>236500</v>
      </c>
      <c r="J525" s="231">
        <f t="shared" si="117"/>
        <v>238000</v>
      </c>
    </row>
    <row r="526" spans="1:10" x14ac:dyDescent="0.2">
      <c r="A526" s="247"/>
      <c r="B526" s="247">
        <v>213</v>
      </c>
      <c r="C526" s="222" t="s">
        <v>201</v>
      </c>
      <c r="D526" s="222"/>
      <c r="E526" s="231">
        <f t="shared" si="117"/>
        <v>0</v>
      </c>
      <c r="F526" s="231">
        <f t="shared" si="117"/>
        <v>0</v>
      </c>
      <c r="G526" s="231">
        <f t="shared" si="117"/>
        <v>0</v>
      </c>
      <c r="H526" s="231">
        <f t="shared" si="117"/>
        <v>0</v>
      </c>
      <c r="I526" s="231">
        <f t="shared" si="117"/>
        <v>0</v>
      </c>
      <c r="J526" s="231">
        <f t="shared" si="117"/>
        <v>0</v>
      </c>
    </row>
    <row r="527" spans="1:10" x14ac:dyDescent="0.2">
      <c r="A527" s="247"/>
      <c r="B527" s="247">
        <v>216</v>
      </c>
      <c r="C527" s="222" t="s">
        <v>10</v>
      </c>
      <c r="D527" s="222"/>
      <c r="E527" s="231">
        <f t="shared" si="117"/>
        <v>354299.66000000003</v>
      </c>
      <c r="F527" s="231">
        <f t="shared" si="117"/>
        <v>383500</v>
      </c>
      <c r="G527" s="231">
        <f t="shared" si="117"/>
        <v>387500</v>
      </c>
      <c r="H527" s="231">
        <f t="shared" si="117"/>
        <v>393800</v>
      </c>
      <c r="I527" s="231">
        <f t="shared" si="117"/>
        <v>393800</v>
      </c>
      <c r="J527" s="231">
        <f t="shared" si="117"/>
        <v>393800</v>
      </c>
    </row>
    <row r="528" spans="1:10" x14ac:dyDescent="0.2">
      <c r="A528" s="247"/>
      <c r="B528" s="247">
        <v>218</v>
      </c>
      <c r="C528" s="222" t="s">
        <v>202</v>
      </c>
      <c r="D528" s="222"/>
      <c r="E528" s="231">
        <f t="shared" si="117"/>
        <v>97140.63</v>
      </c>
      <c r="F528" s="231">
        <f t="shared" si="117"/>
        <v>63400</v>
      </c>
      <c r="G528" s="231">
        <f t="shared" si="117"/>
        <v>0</v>
      </c>
      <c r="H528" s="231">
        <f t="shared" si="117"/>
        <v>54000</v>
      </c>
      <c r="I528" s="231">
        <f t="shared" si="117"/>
        <v>69800</v>
      </c>
      <c r="J528" s="231">
        <f t="shared" si="117"/>
        <v>54000</v>
      </c>
    </row>
    <row r="529" spans="1:10" x14ac:dyDescent="0.2">
      <c r="A529" s="247"/>
      <c r="B529" s="247">
        <v>219</v>
      </c>
      <c r="C529" s="222" t="s">
        <v>203</v>
      </c>
      <c r="D529" s="222"/>
      <c r="E529" s="231">
        <f t="shared" si="117"/>
        <v>0</v>
      </c>
      <c r="F529" s="231">
        <f t="shared" si="117"/>
        <v>0</v>
      </c>
      <c r="G529" s="231">
        <f t="shared" si="117"/>
        <v>0</v>
      </c>
      <c r="H529" s="231">
        <f t="shared" si="117"/>
        <v>0</v>
      </c>
      <c r="I529" s="231">
        <f t="shared" si="117"/>
        <v>0</v>
      </c>
      <c r="J529" s="231">
        <f t="shared" si="117"/>
        <v>0</v>
      </c>
    </row>
    <row r="530" spans="1:10" x14ac:dyDescent="0.2">
      <c r="A530" s="247"/>
      <c r="B530" s="247">
        <v>220</v>
      </c>
      <c r="C530" s="222" t="s">
        <v>204</v>
      </c>
      <c r="D530" s="222"/>
      <c r="E530" s="231">
        <f t="shared" si="117"/>
        <v>10253.86</v>
      </c>
      <c r="F530" s="231">
        <f t="shared" si="117"/>
        <v>26500</v>
      </c>
      <c r="G530" s="231">
        <f t="shared" si="117"/>
        <v>26500</v>
      </c>
      <c r="H530" s="231">
        <f t="shared" si="117"/>
        <v>26500</v>
      </c>
      <c r="I530" s="231">
        <f t="shared" si="117"/>
        <v>26500</v>
      </c>
      <c r="J530" s="231">
        <f t="shared" si="117"/>
        <v>26500</v>
      </c>
    </row>
    <row r="531" spans="1:10" x14ac:dyDescent="0.2">
      <c r="A531" s="247"/>
      <c r="B531" s="247">
        <v>222</v>
      </c>
      <c r="C531" s="222" t="s">
        <v>205</v>
      </c>
      <c r="D531" s="222"/>
      <c r="E531" s="231">
        <f t="shared" si="117"/>
        <v>63866.229999999996</v>
      </c>
      <c r="F531" s="231">
        <f t="shared" si="117"/>
        <v>40000</v>
      </c>
      <c r="G531" s="231">
        <f t="shared" si="117"/>
        <v>65000</v>
      </c>
      <c r="H531" s="231">
        <f t="shared" si="117"/>
        <v>40000</v>
      </c>
      <c r="I531" s="231">
        <f t="shared" si="117"/>
        <v>40000</v>
      </c>
      <c r="J531" s="231">
        <f t="shared" si="117"/>
        <v>40000</v>
      </c>
    </row>
    <row r="532" spans="1:10" x14ac:dyDescent="0.2">
      <c r="A532" s="247"/>
      <c r="B532" s="247">
        <v>224</v>
      </c>
      <c r="C532" s="222" t="s">
        <v>206</v>
      </c>
      <c r="D532" s="222"/>
      <c r="E532" s="231">
        <f t="shared" si="117"/>
        <v>198839.05000000005</v>
      </c>
      <c r="F532" s="231">
        <f t="shared" si="117"/>
        <v>226000</v>
      </c>
      <c r="G532" s="231">
        <f t="shared" si="117"/>
        <v>231000</v>
      </c>
      <c r="H532" s="231">
        <f t="shared" si="117"/>
        <v>201000</v>
      </c>
      <c r="I532" s="231">
        <f t="shared" si="117"/>
        <v>201000</v>
      </c>
      <c r="J532" s="231">
        <f t="shared" si="117"/>
        <v>201000</v>
      </c>
    </row>
    <row r="533" spans="1:10" x14ac:dyDescent="0.2">
      <c r="A533" s="247"/>
      <c r="B533" s="247">
        <v>226</v>
      </c>
      <c r="C533" s="222" t="s">
        <v>207</v>
      </c>
      <c r="D533" s="222"/>
      <c r="E533" s="231">
        <f t="shared" si="117"/>
        <v>58211.19</v>
      </c>
      <c r="F533" s="231">
        <f t="shared" si="117"/>
        <v>73900</v>
      </c>
      <c r="G533" s="231">
        <f t="shared" si="117"/>
        <v>78900</v>
      </c>
      <c r="H533" s="231">
        <f t="shared" si="117"/>
        <v>73900</v>
      </c>
      <c r="I533" s="231">
        <f t="shared" si="117"/>
        <v>73900</v>
      </c>
      <c r="J533" s="231">
        <f t="shared" si="117"/>
        <v>73900</v>
      </c>
    </row>
    <row r="534" spans="1:10" x14ac:dyDescent="0.2">
      <c r="A534" s="247"/>
      <c r="B534" s="247">
        <v>228</v>
      </c>
      <c r="C534" s="222" t="s">
        <v>208</v>
      </c>
      <c r="D534" s="222"/>
      <c r="E534" s="231">
        <f t="shared" si="117"/>
        <v>153610.54</v>
      </c>
      <c r="F534" s="231">
        <f t="shared" si="117"/>
        <v>178500</v>
      </c>
      <c r="G534" s="231">
        <f t="shared" si="117"/>
        <v>183500</v>
      </c>
      <c r="H534" s="231">
        <f t="shared" si="117"/>
        <v>193500</v>
      </c>
      <c r="I534" s="231">
        <f t="shared" si="117"/>
        <v>193500</v>
      </c>
      <c r="J534" s="231">
        <f t="shared" si="117"/>
        <v>193500</v>
      </c>
    </row>
    <row r="535" spans="1:10" x14ac:dyDescent="0.2">
      <c r="A535" s="247"/>
      <c r="B535" s="247">
        <v>229</v>
      </c>
      <c r="C535" s="222" t="s">
        <v>209</v>
      </c>
      <c r="D535" s="222"/>
      <c r="E535" s="231">
        <f t="shared" si="117"/>
        <v>107859.3</v>
      </c>
      <c r="F535" s="231">
        <f t="shared" si="117"/>
        <v>137000</v>
      </c>
      <c r="G535" s="231">
        <f t="shared" si="117"/>
        <v>146500</v>
      </c>
      <c r="H535" s="231">
        <f t="shared" si="117"/>
        <v>170000</v>
      </c>
      <c r="I535" s="231">
        <f t="shared" si="117"/>
        <v>170000</v>
      </c>
      <c r="J535" s="231">
        <f t="shared" si="117"/>
        <v>170000</v>
      </c>
    </row>
    <row r="536" spans="1:10" x14ac:dyDescent="0.2">
      <c r="A536" s="247"/>
      <c r="B536" s="247">
        <v>230</v>
      </c>
      <c r="C536" s="222" t="s">
        <v>210</v>
      </c>
      <c r="D536" s="222"/>
      <c r="E536" s="231">
        <f t="shared" si="117"/>
        <v>1460</v>
      </c>
      <c r="F536" s="231">
        <f t="shared" si="117"/>
        <v>2000</v>
      </c>
      <c r="G536" s="231">
        <f t="shared" si="117"/>
        <v>2000</v>
      </c>
      <c r="H536" s="231">
        <f t="shared" si="117"/>
        <v>2000</v>
      </c>
      <c r="I536" s="231">
        <f t="shared" si="117"/>
        <v>2000</v>
      </c>
      <c r="J536" s="231">
        <f t="shared" si="117"/>
        <v>2000</v>
      </c>
    </row>
    <row r="537" spans="1:10" x14ac:dyDescent="0.2">
      <c r="A537" s="247"/>
      <c r="B537" s="247">
        <v>232</v>
      </c>
      <c r="C537" s="222" t="s">
        <v>211</v>
      </c>
      <c r="D537" s="222"/>
      <c r="E537" s="231">
        <f t="shared" si="117"/>
        <v>281845.56</v>
      </c>
      <c r="F537" s="231">
        <f t="shared" si="117"/>
        <v>701400</v>
      </c>
      <c r="G537" s="231">
        <f t="shared" si="117"/>
        <v>701400</v>
      </c>
      <c r="H537" s="231">
        <f t="shared" si="117"/>
        <v>701400</v>
      </c>
      <c r="I537" s="231">
        <f t="shared" si="117"/>
        <v>701400</v>
      </c>
      <c r="J537" s="231">
        <f t="shared" si="117"/>
        <v>701400</v>
      </c>
    </row>
    <row r="538" spans="1:10" x14ac:dyDescent="0.2">
      <c r="A538" s="247"/>
      <c r="B538" s="247">
        <v>234</v>
      </c>
      <c r="C538" s="222" t="s">
        <v>212</v>
      </c>
      <c r="D538" s="222"/>
      <c r="E538" s="231">
        <f t="shared" si="117"/>
        <v>210973</v>
      </c>
      <c r="F538" s="231">
        <f t="shared" si="117"/>
        <v>218000</v>
      </c>
      <c r="G538" s="231">
        <f t="shared" si="117"/>
        <v>224000</v>
      </c>
      <c r="H538" s="231">
        <f t="shared" si="117"/>
        <v>218000</v>
      </c>
      <c r="I538" s="231">
        <f t="shared" si="117"/>
        <v>218000</v>
      </c>
      <c r="J538" s="231">
        <f t="shared" si="117"/>
        <v>218000</v>
      </c>
    </row>
    <row r="539" spans="1:10" x14ac:dyDescent="0.2">
      <c r="A539" s="247"/>
      <c r="B539" s="247">
        <v>236</v>
      </c>
      <c r="C539" s="222" t="s">
        <v>213</v>
      </c>
      <c r="D539" s="222"/>
      <c r="E539" s="231">
        <f t="shared" si="117"/>
        <v>659676.03</v>
      </c>
      <c r="F539" s="231">
        <f t="shared" si="117"/>
        <v>637500</v>
      </c>
      <c r="G539" s="231">
        <f t="shared" si="117"/>
        <v>627500</v>
      </c>
      <c r="H539" s="231">
        <f t="shared" si="117"/>
        <v>627500</v>
      </c>
      <c r="I539" s="231">
        <f t="shared" si="117"/>
        <v>627500</v>
      </c>
      <c r="J539" s="231">
        <f t="shared" si="117"/>
        <v>627500</v>
      </c>
    </row>
    <row r="540" spans="1:10" x14ac:dyDescent="0.2">
      <c r="A540" s="247"/>
      <c r="B540" s="247">
        <v>238</v>
      </c>
      <c r="C540" s="222" t="s">
        <v>214</v>
      </c>
      <c r="D540" s="222"/>
      <c r="E540" s="231">
        <f t="shared" ref="E540:J555" si="118">SUMIF($A$59:$A$916,$B540,E$59:E$916)</f>
        <v>0</v>
      </c>
      <c r="F540" s="231">
        <f t="shared" si="118"/>
        <v>0</v>
      </c>
      <c r="G540" s="231">
        <f t="shared" si="118"/>
        <v>0</v>
      </c>
      <c r="H540" s="231">
        <f t="shared" si="118"/>
        <v>0</v>
      </c>
      <c r="I540" s="231">
        <f t="shared" si="118"/>
        <v>0</v>
      </c>
      <c r="J540" s="231">
        <f t="shared" si="118"/>
        <v>0</v>
      </c>
    </row>
    <row r="541" spans="1:10" x14ac:dyDescent="0.2">
      <c r="A541" s="247"/>
      <c r="B541" s="247">
        <v>240</v>
      </c>
      <c r="C541" s="222" t="s">
        <v>215</v>
      </c>
      <c r="D541" s="222"/>
      <c r="E541" s="231">
        <f t="shared" si="118"/>
        <v>0</v>
      </c>
      <c r="F541" s="231">
        <f t="shared" si="118"/>
        <v>0</v>
      </c>
      <c r="G541" s="231">
        <f t="shared" si="118"/>
        <v>0</v>
      </c>
      <c r="H541" s="231">
        <f t="shared" si="118"/>
        <v>0</v>
      </c>
      <c r="I541" s="231">
        <f t="shared" si="118"/>
        <v>0</v>
      </c>
      <c r="J541" s="231">
        <f t="shared" si="118"/>
        <v>0</v>
      </c>
    </row>
    <row r="542" spans="1:10" x14ac:dyDescent="0.2">
      <c r="A542" s="247"/>
      <c r="B542" s="247">
        <v>242</v>
      </c>
      <c r="C542" s="222" t="s">
        <v>216</v>
      </c>
      <c r="D542" s="222"/>
      <c r="E542" s="231">
        <f t="shared" si="118"/>
        <v>0</v>
      </c>
      <c r="F542" s="231">
        <f t="shared" si="118"/>
        <v>0</v>
      </c>
      <c r="G542" s="231">
        <f t="shared" si="118"/>
        <v>0</v>
      </c>
      <c r="H542" s="231">
        <f t="shared" si="118"/>
        <v>0</v>
      </c>
      <c r="I542" s="231">
        <f t="shared" si="118"/>
        <v>0</v>
      </c>
      <c r="J542" s="231">
        <f t="shared" si="118"/>
        <v>0</v>
      </c>
    </row>
    <row r="543" spans="1:10" x14ac:dyDescent="0.2">
      <c r="A543" s="247"/>
      <c r="B543" s="247">
        <v>244</v>
      </c>
      <c r="C543" s="222" t="s">
        <v>217</v>
      </c>
      <c r="D543" s="222"/>
      <c r="E543" s="231">
        <f t="shared" si="118"/>
        <v>0</v>
      </c>
      <c r="F543" s="231">
        <f t="shared" si="118"/>
        <v>0</v>
      </c>
      <c r="G543" s="231">
        <f t="shared" si="118"/>
        <v>0</v>
      </c>
      <c r="H543" s="231">
        <f t="shared" si="118"/>
        <v>0</v>
      </c>
      <c r="I543" s="231">
        <f t="shared" si="118"/>
        <v>0</v>
      </c>
      <c r="J543" s="231">
        <f t="shared" si="118"/>
        <v>0</v>
      </c>
    </row>
    <row r="544" spans="1:10" x14ac:dyDescent="0.2">
      <c r="A544" s="247"/>
      <c r="B544" s="247">
        <v>246</v>
      </c>
      <c r="C544" s="222" t="s">
        <v>218</v>
      </c>
      <c r="D544" s="222"/>
      <c r="E544" s="231">
        <f t="shared" si="118"/>
        <v>11829.2</v>
      </c>
      <c r="F544" s="231">
        <f t="shared" si="118"/>
        <v>13500</v>
      </c>
      <c r="G544" s="231">
        <f t="shared" si="118"/>
        <v>13500</v>
      </c>
      <c r="H544" s="231">
        <f t="shared" si="118"/>
        <v>13500</v>
      </c>
      <c r="I544" s="231">
        <f t="shared" si="118"/>
        <v>13500</v>
      </c>
      <c r="J544" s="231">
        <f t="shared" si="118"/>
        <v>13500</v>
      </c>
    </row>
    <row r="545" spans="1:10" x14ac:dyDescent="0.2">
      <c r="A545" s="247"/>
      <c r="B545" s="247">
        <v>247</v>
      </c>
      <c r="C545" s="222" t="s">
        <v>219</v>
      </c>
      <c r="D545" s="222"/>
      <c r="E545" s="231">
        <f t="shared" si="118"/>
        <v>0</v>
      </c>
      <c r="F545" s="231">
        <f t="shared" si="118"/>
        <v>0</v>
      </c>
      <c r="G545" s="231">
        <f t="shared" si="118"/>
        <v>0</v>
      </c>
      <c r="H545" s="231">
        <f t="shared" si="118"/>
        <v>0</v>
      </c>
      <c r="I545" s="231">
        <f t="shared" si="118"/>
        <v>0</v>
      </c>
      <c r="J545" s="231">
        <f t="shared" si="118"/>
        <v>0</v>
      </c>
    </row>
    <row r="546" spans="1:10" x14ac:dyDescent="0.2">
      <c r="A546" s="247"/>
      <c r="B546" s="247">
        <v>260</v>
      </c>
      <c r="C546" s="222" t="s">
        <v>220</v>
      </c>
      <c r="D546" s="222"/>
      <c r="E546" s="231">
        <f t="shared" si="118"/>
        <v>239804.53</v>
      </c>
      <c r="F546" s="231">
        <f t="shared" si="118"/>
        <v>208500</v>
      </c>
      <c r="G546" s="231">
        <f t="shared" si="118"/>
        <v>183500</v>
      </c>
      <c r="H546" s="231">
        <f t="shared" si="118"/>
        <v>208500</v>
      </c>
      <c r="I546" s="231">
        <f t="shared" si="118"/>
        <v>208500</v>
      </c>
      <c r="J546" s="231">
        <f t="shared" si="118"/>
        <v>208500</v>
      </c>
    </row>
    <row r="547" spans="1:10" x14ac:dyDescent="0.2">
      <c r="A547" s="247"/>
      <c r="B547" s="247">
        <v>261</v>
      </c>
      <c r="C547" s="222" t="s">
        <v>221</v>
      </c>
      <c r="D547" s="222"/>
      <c r="E547" s="231">
        <f t="shared" si="118"/>
        <v>289810.52</v>
      </c>
      <c r="F547" s="231">
        <f t="shared" si="118"/>
        <v>1075000</v>
      </c>
      <c r="G547" s="231">
        <f t="shared" si="118"/>
        <v>1075000</v>
      </c>
      <c r="H547" s="231">
        <f t="shared" si="118"/>
        <v>1545000</v>
      </c>
      <c r="I547" s="231">
        <f t="shared" si="118"/>
        <v>1545000</v>
      </c>
      <c r="J547" s="231">
        <f t="shared" si="118"/>
        <v>1545000</v>
      </c>
    </row>
    <row r="548" spans="1:10" x14ac:dyDescent="0.2">
      <c r="A548" s="247"/>
      <c r="B548" s="247">
        <v>265</v>
      </c>
      <c r="C548" s="222" t="s">
        <v>222</v>
      </c>
      <c r="D548" s="222"/>
      <c r="E548" s="231">
        <f t="shared" si="118"/>
        <v>0</v>
      </c>
      <c r="F548" s="231">
        <f t="shared" si="118"/>
        <v>0</v>
      </c>
      <c r="G548" s="231">
        <f t="shared" si="118"/>
        <v>0</v>
      </c>
      <c r="H548" s="231">
        <f t="shared" si="118"/>
        <v>0</v>
      </c>
      <c r="I548" s="231">
        <f t="shared" si="118"/>
        <v>0</v>
      </c>
      <c r="J548" s="231">
        <f t="shared" si="118"/>
        <v>0</v>
      </c>
    </row>
    <row r="549" spans="1:10" x14ac:dyDescent="0.2">
      <c r="A549" s="247"/>
      <c r="B549" s="247">
        <v>266</v>
      </c>
      <c r="C549" s="222" t="s">
        <v>223</v>
      </c>
      <c r="D549" s="222"/>
      <c r="E549" s="231">
        <f t="shared" si="118"/>
        <v>128874.51</v>
      </c>
      <c r="F549" s="231">
        <f t="shared" si="118"/>
        <v>130000</v>
      </c>
      <c r="G549" s="231">
        <f t="shared" si="118"/>
        <v>155000</v>
      </c>
      <c r="H549" s="231">
        <f t="shared" si="118"/>
        <v>130000</v>
      </c>
      <c r="I549" s="231">
        <f t="shared" si="118"/>
        <v>130000</v>
      </c>
      <c r="J549" s="231">
        <f t="shared" si="118"/>
        <v>130000</v>
      </c>
    </row>
    <row r="550" spans="1:10" x14ac:dyDescent="0.2">
      <c r="A550" s="247"/>
      <c r="B550" s="247">
        <v>270</v>
      </c>
      <c r="C550" s="222" t="s">
        <v>224</v>
      </c>
      <c r="D550" s="222"/>
      <c r="E550" s="231">
        <f t="shared" si="118"/>
        <v>0</v>
      </c>
      <c r="F550" s="231">
        <f t="shared" si="118"/>
        <v>0</v>
      </c>
      <c r="G550" s="231">
        <f t="shared" si="118"/>
        <v>0</v>
      </c>
      <c r="H550" s="231">
        <f t="shared" si="118"/>
        <v>0</v>
      </c>
      <c r="I550" s="231">
        <f t="shared" si="118"/>
        <v>0</v>
      </c>
      <c r="J550" s="231">
        <f t="shared" si="118"/>
        <v>0</v>
      </c>
    </row>
    <row r="551" spans="1:10" x14ac:dyDescent="0.2">
      <c r="A551" s="247"/>
      <c r="B551" s="247">
        <v>272</v>
      </c>
      <c r="C551" s="222" t="s">
        <v>225</v>
      </c>
      <c r="D551" s="222"/>
      <c r="E551" s="231">
        <f t="shared" si="118"/>
        <v>0</v>
      </c>
      <c r="F551" s="231">
        <f t="shared" si="118"/>
        <v>0</v>
      </c>
      <c r="G551" s="231">
        <f t="shared" si="118"/>
        <v>0</v>
      </c>
      <c r="H551" s="231">
        <f t="shared" si="118"/>
        <v>0</v>
      </c>
      <c r="I551" s="231">
        <f t="shared" si="118"/>
        <v>0</v>
      </c>
      <c r="J551" s="231">
        <f t="shared" si="118"/>
        <v>0</v>
      </c>
    </row>
    <row r="552" spans="1:10" x14ac:dyDescent="0.2">
      <c r="A552" s="247"/>
      <c r="B552" s="247">
        <v>273</v>
      </c>
      <c r="C552" s="222" t="s">
        <v>226</v>
      </c>
      <c r="D552" s="222"/>
      <c r="E552" s="231">
        <f t="shared" si="118"/>
        <v>0</v>
      </c>
      <c r="F552" s="231">
        <f t="shared" si="118"/>
        <v>0</v>
      </c>
      <c r="G552" s="231">
        <f t="shared" si="118"/>
        <v>0</v>
      </c>
      <c r="H552" s="231">
        <f t="shared" si="118"/>
        <v>0</v>
      </c>
      <c r="I552" s="231">
        <f t="shared" si="118"/>
        <v>0</v>
      </c>
      <c r="J552" s="231">
        <f t="shared" si="118"/>
        <v>0</v>
      </c>
    </row>
    <row r="553" spans="1:10" x14ac:dyDescent="0.2">
      <c r="A553" s="247"/>
      <c r="B553" s="247">
        <v>274</v>
      </c>
      <c r="C553" s="222" t="s">
        <v>227</v>
      </c>
      <c r="D553" s="222"/>
      <c r="E553" s="231">
        <f t="shared" si="118"/>
        <v>0</v>
      </c>
      <c r="F553" s="231">
        <f t="shared" si="118"/>
        <v>0</v>
      </c>
      <c r="G553" s="231">
        <f t="shared" si="118"/>
        <v>0</v>
      </c>
      <c r="H553" s="231">
        <f t="shared" si="118"/>
        <v>0</v>
      </c>
      <c r="I553" s="231">
        <f t="shared" si="118"/>
        <v>0</v>
      </c>
      <c r="J553" s="231">
        <f t="shared" si="118"/>
        <v>0</v>
      </c>
    </row>
    <row r="554" spans="1:10" x14ac:dyDescent="0.2">
      <c r="A554" s="247"/>
      <c r="B554" s="247">
        <v>275</v>
      </c>
      <c r="C554" s="222" t="s">
        <v>228</v>
      </c>
      <c r="D554" s="222"/>
      <c r="E554" s="231">
        <f t="shared" si="118"/>
        <v>85292.389999999985</v>
      </c>
      <c r="F554" s="231">
        <f t="shared" si="118"/>
        <v>94500</v>
      </c>
      <c r="G554" s="231">
        <f t="shared" si="118"/>
        <v>90000</v>
      </c>
      <c r="H554" s="231">
        <f t="shared" si="118"/>
        <v>94500</v>
      </c>
      <c r="I554" s="231">
        <f t="shared" si="118"/>
        <v>94500</v>
      </c>
      <c r="J554" s="231">
        <f t="shared" si="118"/>
        <v>94500</v>
      </c>
    </row>
    <row r="555" spans="1:10" x14ac:dyDescent="0.2">
      <c r="A555" s="247"/>
      <c r="B555" s="247">
        <v>276</v>
      </c>
      <c r="C555" s="222" t="s">
        <v>229</v>
      </c>
      <c r="D555" s="222"/>
      <c r="E555" s="231">
        <f t="shared" si="118"/>
        <v>9924.67</v>
      </c>
      <c r="F555" s="231">
        <f t="shared" si="118"/>
        <v>10000</v>
      </c>
      <c r="G555" s="231">
        <f t="shared" si="118"/>
        <v>25000</v>
      </c>
      <c r="H555" s="231">
        <f t="shared" si="118"/>
        <v>10000</v>
      </c>
      <c r="I555" s="231">
        <f t="shared" si="118"/>
        <v>10000</v>
      </c>
      <c r="J555" s="231">
        <f t="shared" si="118"/>
        <v>10000</v>
      </c>
    </row>
    <row r="556" spans="1:10" x14ac:dyDescent="0.2">
      <c r="A556" s="247"/>
      <c r="B556" s="247">
        <v>277</v>
      </c>
      <c r="C556" s="222" t="s">
        <v>230</v>
      </c>
      <c r="D556" s="222"/>
      <c r="E556" s="231">
        <f t="shared" ref="E556:J567" si="119">SUMIF($A$59:$A$916,$B556,E$59:E$916)</f>
        <v>0</v>
      </c>
      <c r="F556" s="231">
        <f t="shared" si="119"/>
        <v>0</v>
      </c>
      <c r="G556" s="231">
        <f t="shared" si="119"/>
        <v>0</v>
      </c>
      <c r="H556" s="231">
        <f t="shared" si="119"/>
        <v>0</v>
      </c>
      <c r="I556" s="231">
        <f t="shared" si="119"/>
        <v>0</v>
      </c>
      <c r="J556" s="231">
        <f t="shared" si="119"/>
        <v>0</v>
      </c>
    </row>
    <row r="557" spans="1:10" x14ac:dyDescent="0.2">
      <c r="A557" s="247"/>
      <c r="B557" s="247">
        <v>278</v>
      </c>
      <c r="C557" s="222" t="s">
        <v>231</v>
      </c>
      <c r="D557" s="222"/>
      <c r="E557" s="231">
        <f t="shared" si="119"/>
        <v>0</v>
      </c>
      <c r="F557" s="231">
        <f t="shared" si="119"/>
        <v>0</v>
      </c>
      <c r="G557" s="231">
        <f t="shared" si="119"/>
        <v>0</v>
      </c>
      <c r="H557" s="231">
        <f t="shared" si="119"/>
        <v>0</v>
      </c>
      <c r="I557" s="231">
        <f t="shared" si="119"/>
        <v>0</v>
      </c>
      <c r="J557" s="231">
        <f t="shared" si="119"/>
        <v>0</v>
      </c>
    </row>
    <row r="558" spans="1:10" x14ac:dyDescent="0.2">
      <c r="A558" s="247"/>
      <c r="B558" s="247">
        <v>279</v>
      </c>
      <c r="C558" s="222" t="s">
        <v>232</v>
      </c>
      <c r="D558" s="222"/>
      <c r="E558" s="231">
        <f t="shared" si="119"/>
        <v>0</v>
      </c>
      <c r="F558" s="231">
        <f t="shared" si="119"/>
        <v>0</v>
      </c>
      <c r="G558" s="231">
        <f t="shared" si="119"/>
        <v>0</v>
      </c>
      <c r="H558" s="231">
        <f t="shared" si="119"/>
        <v>0</v>
      </c>
      <c r="I558" s="231">
        <f t="shared" si="119"/>
        <v>0</v>
      </c>
      <c r="J558" s="231">
        <f t="shared" si="119"/>
        <v>0</v>
      </c>
    </row>
    <row r="559" spans="1:10" x14ac:dyDescent="0.2">
      <c r="A559" s="247"/>
      <c r="B559" s="247">
        <v>280</v>
      </c>
      <c r="C559" s="222" t="s">
        <v>233</v>
      </c>
      <c r="D559" s="222"/>
      <c r="E559" s="231">
        <f t="shared" si="119"/>
        <v>16380.54</v>
      </c>
      <c r="F559" s="231">
        <f t="shared" si="119"/>
        <v>25000</v>
      </c>
      <c r="G559" s="231">
        <f t="shared" si="119"/>
        <v>20000</v>
      </c>
      <c r="H559" s="231">
        <f t="shared" si="119"/>
        <v>25000</v>
      </c>
      <c r="I559" s="231">
        <f t="shared" si="119"/>
        <v>25000</v>
      </c>
      <c r="J559" s="231">
        <f t="shared" si="119"/>
        <v>25000</v>
      </c>
    </row>
    <row r="560" spans="1:10" x14ac:dyDescent="0.2">
      <c r="A560" s="247"/>
      <c r="B560" s="247">
        <v>281</v>
      </c>
      <c r="C560" s="222" t="s">
        <v>234</v>
      </c>
      <c r="D560" s="222"/>
      <c r="E560" s="231">
        <f t="shared" si="119"/>
        <v>29181.040000000001</v>
      </c>
      <c r="F560" s="231">
        <f t="shared" si="119"/>
        <v>30000</v>
      </c>
      <c r="G560" s="231">
        <f t="shared" si="119"/>
        <v>30000</v>
      </c>
      <c r="H560" s="231">
        <f t="shared" si="119"/>
        <v>25000</v>
      </c>
      <c r="I560" s="231">
        <f t="shared" si="119"/>
        <v>25000</v>
      </c>
      <c r="J560" s="231">
        <f t="shared" si="119"/>
        <v>25000</v>
      </c>
    </row>
    <row r="561" spans="1:10" x14ac:dyDescent="0.2">
      <c r="A561" s="247"/>
      <c r="B561" s="247">
        <v>282</v>
      </c>
      <c r="C561" s="222" t="s">
        <v>235</v>
      </c>
      <c r="D561" s="222"/>
      <c r="E561" s="231">
        <f t="shared" si="119"/>
        <v>0</v>
      </c>
      <c r="F561" s="231">
        <f t="shared" si="119"/>
        <v>0</v>
      </c>
      <c r="G561" s="231">
        <f t="shared" si="119"/>
        <v>0</v>
      </c>
      <c r="H561" s="231">
        <f t="shared" si="119"/>
        <v>0</v>
      </c>
      <c r="I561" s="231">
        <f t="shared" si="119"/>
        <v>0</v>
      </c>
      <c r="J561" s="231">
        <f t="shared" si="119"/>
        <v>0</v>
      </c>
    </row>
    <row r="562" spans="1:10" x14ac:dyDescent="0.2">
      <c r="A562" s="247"/>
      <c r="B562" s="247">
        <v>283</v>
      </c>
      <c r="C562" s="222" t="s">
        <v>236</v>
      </c>
      <c r="D562" s="222"/>
      <c r="E562" s="231">
        <f t="shared" si="119"/>
        <v>0</v>
      </c>
      <c r="F562" s="231">
        <f t="shared" si="119"/>
        <v>0</v>
      </c>
      <c r="G562" s="231">
        <f t="shared" si="119"/>
        <v>0</v>
      </c>
      <c r="H562" s="231">
        <f t="shared" si="119"/>
        <v>0</v>
      </c>
      <c r="I562" s="231">
        <f t="shared" si="119"/>
        <v>0</v>
      </c>
      <c r="J562" s="231">
        <f t="shared" si="119"/>
        <v>0</v>
      </c>
    </row>
    <row r="563" spans="1:10" x14ac:dyDescent="0.2">
      <c r="A563" s="247"/>
      <c r="B563" s="247">
        <v>290</v>
      </c>
      <c r="C563" s="222" t="s">
        <v>238</v>
      </c>
      <c r="D563" s="222"/>
      <c r="E563" s="231">
        <f t="shared" si="119"/>
        <v>0</v>
      </c>
      <c r="F563" s="231">
        <f t="shared" si="119"/>
        <v>0</v>
      </c>
      <c r="G563" s="231">
        <f t="shared" si="119"/>
        <v>0</v>
      </c>
      <c r="H563" s="231">
        <f t="shared" si="119"/>
        <v>0</v>
      </c>
      <c r="I563" s="231">
        <f t="shared" si="119"/>
        <v>0</v>
      </c>
      <c r="J563" s="231">
        <f t="shared" si="119"/>
        <v>0</v>
      </c>
    </row>
    <row r="564" spans="1:10" x14ac:dyDescent="0.2">
      <c r="A564" s="247"/>
      <c r="B564" s="247">
        <v>292</v>
      </c>
      <c r="C564" s="222" t="s">
        <v>239</v>
      </c>
      <c r="D564" s="222"/>
      <c r="E564" s="231">
        <f t="shared" si="119"/>
        <v>0</v>
      </c>
      <c r="F564" s="231">
        <f t="shared" si="119"/>
        <v>0</v>
      </c>
      <c r="G564" s="231">
        <f t="shared" si="119"/>
        <v>0</v>
      </c>
      <c r="H564" s="231">
        <f t="shared" si="119"/>
        <v>0</v>
      </c>
      <c r="I564" s="231">
        <f t="shared" si="119"/>
        <v>0</v>
      </c>
      <c r="J564" s="231">
        <f t="shared" si="119"/>
        <v>0</v>
      </c>
    </row>
    <row r="565" spans="1:10" x14ac:dyDescent="0.2">
      <c r="A565" s="247"/>
      <c r="B565" s="247">
        <v>293</v>
      </c>
      <c r="C565" s="222" t="s">
        <v>240</v>
      </c>
      <c r="D565" s="222"/>
      <c r="E565" s="231">
        <f t="shared" si="119"/>
        <v>0</v>
      </c>
      <c r="F565" s="231">
        <f t="shared" si="119"/>
        <v>0</v>
      </c>
      <c r="G565" s="231">
        <f t="shared" si="119"/>
        <v>0</v>
      </c>
      <c r="H565" s="231">
        <f t="shared" si="119"/>
        <v>0</v>
      </c>
      <c r="I565" s="231">
        <f t="shared" si="119"/>
        <v>0</v>
      </c>
      <c r="J565" s="231">
        <f t="shared" si="119"/>
        <v>0</v>
      </c>
    </row>
    <row r="566" spans="1:10" x14ac:dyDescent="0.2">
      <c r="A566" s="222"/>
      <c r="B566" s="247"/>
      <c r="C566" s="229" t="s">
        <v>1774</v>
      </c>
      <c r="D566" s="240"/>
      <c r="E566" s="248">
        <f t="shared" ref="E566:J566" si="120">SUM(E524:E565)</f>
        <v>8390682.1799999997</v>
      </c>
      <c r="F566" s="248">
        <f t="shared" si="120"/>
        <v>9977000</v>
      </c>
      <c r="G566" s="248">
        <f t="shared" si="120"/>
        <v>9934300</v>
      </c>
      <c r="H566" s="248">
        <f t="shared" si="120"/>
        <v>10877300</v>
      </c>
      <c r="I566" s="248">
        <f t="shared" si="120"/>
        <v>11055300</v>
      </c>
      <c r="J566" s="248">
        <f t="shared" si="120"/>
        <v>11120000</v>
      </c>
    </row>
  </sheetData>
  <mergeCells count="522">
    <mergeCell ref="A467:E467"/>
    <mergeCell ref="A468:E468"/>
    <mergeCell ref="A469:J469"/>
    <mergeCell ref="A461:E461"/>
    <mergeCell ref="A462:E462"/>
    <mergeCell ref="A463:E463"/>
    <mergeCell ref="A464:E464"/>
    <mergeCell ref="A465:E465"/>
    <mergeCell ref="A466:J466"/>
    <mergeCell ref="A455:J455"/>
    <mergeCell ref="A456:J456"/>
    <mergeCell ref="A457:J457"/>
    <mergeCell ref="A458:J458"/>
    <mergeCell ref="A459:E459"/>
    <mergeCell ref="A460:J460"/>
    <mergeCell ref="A449:J449"/>
    <mergeCell ref="A450:J450"/>
    <mergeCell ref="A451:J451"/>
    <mergeCell ref="A452:J452"/>
    <mergeCell ref="A453:J453"/>
    <mergeCell ref="A454:J454"/>
    <mergeCell ref="A445:C445"/>
    <mergeCell ref="F445:H445"/>
    <mergeCell ref="A446:C446"/>
    <mergeCell ref="F446:H446"/>
    <mergeCell ref="A447:I447"/>
    <mergeCell ref="A448:J448"/>
    <mergeCell ref="A441:J441"/>
    <mergeCell ref="A442:C442"/>
    <mergeCell ref="F442:H442"/>
    <mergeCell ref="A443:C443"/>
    <mergeCell ref="F443:H443"/>
    <mergeCell ref="A444:C444"/>
    <mergeCell ref="F444:H444"/>
    <mergeCell ref="J435:J436"/>
    <mergeCell ref="C436:D436"/>
    <mergeCell ref="C437:D437"/>
    <mergeCell ref="C438:D438"/>
    <mergeCell ref="A439:D439"/>
    <mergeCell ref="A440:J440"/>
    <mergeCell ref="A431:D431"/>
    <mergeCell ref="A432:D432"/>
    <mergeCell ref="A433:I433"/>
    <mergeCell ref="A434:J434"/>
    <mergeCell ref="A435:D435"/>
    <mergeCell ref="E435:E436"/>
    <mergeCell ref="F435:F436"/>
    <mergeCell ref="G435:G436"/>
    <mergeCell ref="H435:H436"/>
    <mergeCell ref="I435:I436"/>
    <mergeCell ref="B425:D425"/>
    <mergeCell ref="B426:D426"/>
    <mergeCell ref="B427:D427"/>
    <mergeCell ref="B428:D428"/>
    <mergeCell ref="B429:D429"/>
    <mergeCell ref="B430:D430"/>
    <mergeCell ref="B419:D419"/>
    <mergeCell ref="B420:D420"/>
    <mergeCell ref="B421:D421"/>
    <mergeCell ref="B422:D422"/>
    <mergeCell ref="B423:D423"/>
    <mergeCell ref="B424:D424"/>
    <mergeCell ref="B413:D413"/>
    <mergeCell ref="B414:D414"/>
    <mergeCell ref="A415:D415"/>
    <mergeCell ref="A416:I416"/>
    <mergeCell ref="B417:D417"/>
    <mergeCell ref="B418:D418"/>
    <mergeCell ref="A407:J407"/>
    <mergeCell ref="A408:J408"/>
    <mergeCell ref="B409:D409"/>
    <mergeCell ref="A410:I410"/>
    <mergeCell ref="B411:D411"/>
    <mergeCell ref="B412:D412"/>
    <mergeCell ref="A401:J401"/>
    <mergeCell ref="A402:J402"/>
    <mergeCell ref="A403:J403"/>
    <mergeCell ref="B404:D404"/>
    <mergeCell ref="B405:D405"/>
    <mergeCell ref="A406:D406"/>
    <mergeCell ref="A395:E395"/>
    <mergeCell ref="A396:J396"/>
    <mergeCell ref="A397:E397"/>
    <mergeCell ref="A398:E398"/>
    <mergeCell ref="A399:J399"/>
    <mergeCell ref="A400:J400"/>
    <mergeCell ref="A389:J389"/>
    <mergeCell ref="A390:J390"/>
    <mergeCell ref="A391:E391"/>
    <mergeCell ref="A392:J392"/>
    <mergeCell ref="A393:E393"/>
    <mergeCell ref="A394:E394"/>
    <mergeCell ref="A383:J383"/>
    <mergeCell ref="A384:J384"/>
    <mergeCell ref="A385:J385"/>
    <mergeCell ref="A386:J386"/>
    <mergeCell ref="A387:J387"/>
    <mergeCell ref="A388:J388"/>
    <mergeCell ref="A378:C378"/>
    <mergeCell ref="F378:H378"/>
    <mergeCell ref="A379:I379"/>
    <mergeCell ref="A380:J380"/>
    <mergeCell ref="A381:J381"/>
    <mergeCell ref="A382:J382"/>
    <mergeCell ref="A375:C375"/>
    <mergeCell ref="F375:H375"/>
    <mergeCell ref="A376:C376"/>
    <mergeCell ref="F376:H376"/>
    <mergeCell ref="A377:C377"/>
    <mergeCell ref="F377:H377"/>
    <mergeCell ref="C369:D369"/>
    <mergeCell ref="C370:D370"/>
    <mergeCell ref="A371:D371"/>
    <mergeCell ref="A372:J372"/>
    <mergeCell ref="A373:J373"/>
    <mergeCell ref="A374:C374"/>
    <mergeCell ref="F374:H374"/>
    <mergeCell ref="A365:D365"/>
    <mergeCell ref="A366:J366"/>
    <mergeCell ref="A367:D367"/>
    <mergeCell ref="E367:E368"/>
    <mergeCell ref="F367:F368"/>
    <mergeCell ref="G367:G368"/>
    <mergeCell ref="H367:H368"/>
    <mergeCell ref="I367:I368"/>
    <mergeCell ref="J367:J368"/>
    <mergeCell ref="C368:D368"/>
    <mergeCell ref="B359:D359"/>
    <mergeCell ref="B360:D360"/>
    <mergeCell ref="B361:D361"/>
    <mergeCell ref="B362:D362"/>
    <mergeCell ref="B363:D363"/>
    <mergeCell ref="A364:D364"/>
    <mergeCell ref="B353:D353"/>
    <mergeCell ref="B354:D354"/>
    <mergeCell ref="A355:D355"/>
    <mergeCell ref="A356:I356"/>
    <mergeCell ref="B357:D357"/>
    <mergeCell ref="B358:D358"/>
    <mergeCell ref="A347:J347"/>
    <mergeCell ref="A348:J348"/>
    <mergeCell ref="B349:D349"/>
    <mergeCell ref="A350:I350"/>
    <mergeCell ref="B351:D351"/>
    <mergeCell ref="B352:D352"/>
    <mergeCell ref="A341:J341"/>
    <mergeCell ref="A342:J342"/>
    <mergeCell ref="A343:J343"/>
    <mergeCell ref="B344:D344"/>
    <mergeCell ref="B345:D345"/>
    <mergeCell ref="A346:D346"/>
    <mergeCell ref="A335:E335"/>
    <mergeCell ref="A336:J336"/>
    <mergeCell ref="A337:E337"/>
    <mergeCell ref="A338:E338"/>
    <mergeCell ref="A339:J339"/>
    <mergeCell ref="A340:J340"/>
    <mergeCell ref="A329:J329"/>
    <mergeCell ref="A330:J330"/>
    <mergeCell ref="A331:E331"/>
    <mergeCell ref="A332:J332"/>
    <mergeCell ref="A333:E333"/>
    <mergeCell ref="A334:E334"/>
    <mergeCell ref="A323:J323"/>
    <mergeCell ref="A324:J324"/>
    <mergeCell ref="A325:J325"/>
    <mergeCell ref="A326:J326"/>
    <mergeCell ref="A327:J327"/>
    <mergeCell ref="A328:J328"/>
    <mergeCell ref="A318:C318"/>
    <mergeCell ref="F318:H318"/>
    <mergeCell ref="A319:I319"/>
    <mergeCell ref="A320:J320"/>
    <mergeCell ref="A321:J321"/>
    <mergeCell ref="A322:J322"/>
    <mergeCell ref="A314:J314"/>
    <mergeCell ref="A315:J315"/>
    <mergeCell ref="A316:C316"/>
    <mergeCell ref="F316:H316"/>
    <mergeCell ref="A317:C317"/>
    <mergeCell ref="F317:H317"/>
    <mergeCell ref="I309:I310"/>
    <mergeCell ref="J309:J310"/>
    <mergeCell ref="C310:D310"/>
    <mergeCell ref="C311:D311"/>
    <mergeCell ref="C312:D312"/>
    <mergeCell ref="A313:D313"/>
    <mergeCell ref="B304:D304"/>
    <mergeCell ref="A305:D305"/>
    <mergeCell ref="A306:D306"/>
    <mergeCell ref="A307:I307"/>
    <mergeCell ref="A308:J308"/>
    <mergeCell ref="A309:D309"/>
    <mergeCell ref="E309:E310"/>
    <mergeCell ref="F309:F310"/>
    <mergeCell ref="G309:G310"/>
    <mergeCell ref="H309:H310"/>
    <mergeCell ref="B298:D298"/>
    <mergeCell ref="B299:D299"/>
    <mergeCell ref="B300:D300"/>
    <mergeCell ref="B301:D301"/>
    <mergeCell ref="B302:D302"/>
    <mergeCell ref="B303:D303"/>
    <mergeCell ref="B292:D292"/>
    <mergeCell ref="B293:D293"/>
    <mergeCell ref="A294:D294"/>
    <mergeCell ref="A295:I295"/>
    <mergeCell ref="B296:D296"/>
    <mergeCell ref="B297:D297"/>
    <mergeCell ref="A286:J286"/>
    <mergeCell ref="A287:J287"/>
    <mergeCell ref="B288:D288"/>
    <mergeCell ref="A289:I289"/>
    <mergeCell ref="B290:D290"/>
    <mergeCell ref="B291:D291"/>
    <mergeCell ref="A280:J280"/>
    <mergeCell ref="A281:J281"/>
    <mergeCell ref="A282:J282"/>
    <mergeCell ref="B283:D283"/>
    <mergeCell ref="B284:D284"/>
    <mergeCell ref="A285:D285"/>
    <mergeCell ref="A274:E274"/>
    <mergeCell ref="A275:J275"/>
    <mergeCell ref="A276:E276"/>
    <mergeCell ref="A277:E277"/>
    <mergeCell ref="A278:J278"/>
    <mergeCell ref="A279:J279"/>
    <mergeCell ref="A268:J268"/>
    <mergeCell ref="A269:J269"/>
    <mergeCell ref="A270:E270"/>
    <mergeCell ref="A271:J271"/>
    <mergeCell ref="A272:E272"/>
    <mergeCell ref="A273:E273"/>
    <mergeCell ref="A262:J262"/>
    <mergeCell ref="A263:J263"/>
    <mergeCell ref="A264:J264"/>
    <mergeCell ref="A265:J265"/>
    <mergeCell ref="A266:J266"/>
    <mergeCell ref="A267:J267"/>
    <mergeCell ref="A257:C257"/>
    <mergeCell ref="F257:H257"/>
    <mergeCell ref="A258:I258"/>
    <mergeCell ref="A259:J259"/>
    <mergeCell ref="A260:J260"/>
    <mergeCell ref="A261:J261"/>
    <mergeCell ref="A254:C254"/>
    <mergeCell ref="F254:H254"/>
    <mergeCell ref="A255:C255"/>
    <mergeCell ref="F255:H255"/>
    <mergeCell ref="A256:C256"/>
    <mergeCell ref="F256:H256"/>
    <mergeCell ref="A251:C251"/>
    <mergeCell ref="F251:H251"/>
    <mergeCell ref="A252:C252"/>
    <mergeCell ref="F252:H252"/>
    <mergeCell ref="A253:C253"/>
    <mergeCell ref="F253:H253"/>
    <mergeCell ref="A248:C248"/>
    <mergeCell ref="F248:H248"/>
    <mergeCell ref="A249:C249"/>
    <mergeCell ref="F249:H249"/>
    <mergeCell ref="A250:C250"/>
    <mergeCell ref="F250:H250"/>
    <mergeCell ref="A244:J244"/>
    <mergeCell ref="A245:J245"/>
    <mergeCell ref="A246:C246"/>
    <mergeCell ref="F246:H246"/>
    <mergeCell ref="A247:C247"/>
    <mergeCell ref="F247:H247"/>
    <mergeCell ref="I239:I240"/>
    <mergeCell ref="J239:J240"/>
    <mergeCell ref="C240:D240"/>
    <mergeCell ref="C241:D241"/>
    <mergeCell ref="C242:D242"/>
    <mergeCell ref="A243:D243"/>
    <mergeCell ref="A225:I225"/>
    <mergeCell ref="A235:D235"/>
    <mergeCell ref="A236:D236"/>
    <mergeCell ref="A237:I237"/>
    <mergeCell ref="A238:J238"/>
    <mergeCell ref="A239:D239"/>
    <mergeCell ref="E239:E240"/>
    <mergeCell ref="F239:F240"/>
    <mergeCell ref="G239:G240"/>
    <mergeCell ref="H239:H240"/>
    <mergeCell ref="A219:I219"/>
    <mergeCell ref="B220:D220"/>
    <mergeCell ref="B221:D221"/>
    <mergeCell ref="B222:D222"/>
    <mergeCell ref="B223:D223"/>
    <mergeCell ref="A224:D224"/>
    <mergeCell ref="B213:D213"/>
    <mergeCell ref="A214:J214"/>
    <mergeCell ref="A215:D215"/>
    <mergeCell ref="A216:J216"/>
    <mergeCell ref="A217:J217"/>
    <mergeCell ref="B218:D218"/>
    <mergeCell ref="A207:E207"/>
    <mergeCell ref="A208:J208"/>
    <mergeCell ref="A209:J209"/>
    <mergeCell ref="A210:J210"/>
    <mergeCell ref="A211:J211"/>
    <mergeCell ref="A212:J212"/>
    <mergeCell ref="A201:J201"/>
    <mergeCell ref="A202:E202"/>
    <mergeCell ref="A203:E203"/>
    <mergeCell ref="A204:E204"/>
    <mergeCell ref="A205:J205"/>
    <mergeCell ref="A206:E206"/>
    <mergeCell ref="A195:J195"/>
    <mergeCell ref="A196:J196"/>
    <mergeCell ref="A197:J197"/>
    <mergeCell ref="A198:J198"/>
    <mergeCell ref="A199:J199"/>
    <mergeCell ref="A200:E200"/>
    <mergeCell ref="A189:I189"/>
    <mergeCell ref="A190:J190"/>
    <mergeCell ref="A191:J191"/>
    <mergeCell ref="A192:J192"/>
    <mergeCell ref="A193:J193"/>
    <mergeCell ref="A194:J194"/>
    <mergeCell ref="A186:C186"/>
    <mergeCell ref="F186:H186"/>
    <mergeCell ref="A187:C187"/>
    <mergeCell ref="F187:H187"/>
    <mergeCell ref="A188:C188"/>
    <mergeCell ref="F188:H188"/>
    <mergeCell ref="A183:C183"/>
    <mergeCell ref="F183:H183"/>
    <mergeCell ref="A184:C184"/>
    <mergeCell ref="F184:H184"/>
    <mergeCell ref="A185:C185"/>
    <mergeCell ref="F185:H185"/>
    <mergeCell ref="C177:D177"/>
    <mergeCell ref="C178:D178"/>
    <mergeCell ref="A179:D179"/>
    <mergeCell ref="A180:J180"/>
    <mergeCell ref="A181:J181"/>
    <mergeCell ref="A182:C182"/>
    <mergeCell ref="F182:H182"/>
    <mergeCell ref="A173:I173"/>
    <mergeCell ref="A174:J174"/>
    <mergeCell ref="A175:D175"/>
    <mergeCell ref="E175:E176"/>
    <mergeCell ref="F175:F176"/>
    <mergeCell ref="G175:G176"/>
    <mergeCell ref="H175:H176"/>
    <mergeCell ref="I175:I176"/>
    <mergeCell ref="J175:J176"/>
    <mergeCell ref="C176:D176"/>
    <mergeCell ref="A162:D162"/>
    <mergeCell ref="A163:I163"/>
    <mergeCell ref="B164:D164"/>
    <mergeCell ref="B170:D170"/>
    <mergeCell ref="A171:D171"/>
    <mergeCell ref="A172:D172"/>
    <mergeCell ref="B156:D156"/>
    <mergeCell ref="A157:I157"/>
    <mergeCell ref="B158:D158"/>
    <mergeCell ref="B159:D159"/>
    <mergeCell ref="B160:D160"/>
    <mergeCell ref="B161:D161"/>
    <mergeCell ref="A150:J150"/>
    <mergeCell ref="B151:D151"/>
    <mergeCell ref="A152:J152"/>
    <mergeCell ref="A153:D153"/>
    <mergeCell ref="A154:J154"/>
    <mergeCell ref="A155:J155"/>
    <mergeCell ref="A144:E144"/>
    <mergeCell ref="A145:E145"/>
    <mergeCell ref="A146:J146"/>
    <mergeCell ref="A147:J147"/>
    <mergeCell ref="A148:J148"/>
    <mergeCell ref="A149:J149"/>
    <mergeCell ref="A138:E138"/>
    <mergeCell ref="A139:E139"/>
    <mergeCell ref="A140:E140"/>
    <mergeCell ref="A141:J141"/>
    <mergeCell ref="A142:E142"/>
    <mergeCell ref="A143:E143"/>
    <mergeCell ref="A132:J132"/>
    <mergeCell ref="A133:J133"/>
    <mergeCell ref="A134:J134"/>
    <mergeCell ref="A135:J135"/>
    <mergeCell ref="A136:E136"/>
    <mergeCell ref="A137:J137"/>
    <mergeCell ref="A126:J126"/>
    <mergeCell ref="A127:J127"/>
    <mergeCell ref="A128:J128"/>
    <mergeCell ref="A129:J129"/>
    <mergeCell ref="A130:J130"/>
    <mergeCell ref="A131:J131"/>
    <mergeCell ref="A122:C122"/>
    <mergeCell ref="F122:H122"/>
    <mergeCell ref="A123:C123"/>
    <mergeCell ref="F123:H123"/>
    <mergeCell ref="A124:I124"/>
    <mergeCell ref="A125:J125"/>
    <mergeCell ref="A119:C119"/>
    <mergeCell ref="F119:H119"/>
    <mergeCell ref="A120:C120"/>
    <mergeCell ref="F120:H120"/>
    <mergeCell ref="A121:C121"/>
    <mergeCell ref="F121:H121"/>
    <mergeCell ref="A114:D114"/>
    <mergeCell ref="A115:J115"/>
    <mergeCell ref="A116:J116"/>
    <mergeCell ref="A117:C117"/>
    <mergeCell ref="F117:H117"/>
    <mergeCell ref="A118:C118"/>
    <mergeCell ref="F118:H118"/>
    <mergeCell ref="A108:J108"/>
    <mergeCell ref="A109:D109"/>
    <mergeCell ref="E109:E110"/>
    <mergeCell ref="F109:F110"/>
    <mergeCell ref="G109:G110"/>
    <mergeCell ref="H109:H110"/>
    <mergeCell ref="I109:I110"/>
    <mergeCell ref="J109:J110"/>
    <mergeCell ref="C110:D110"/>
    <mergeCell ref="B102:D102"/>
    <mergeCell ref="B103:D103"/>
    <mergeCell ref="B104:D104"/>
    <mergeCell ref="A105:D105"/>
    <mergeCell ref="A106:D106"/>
    <mergeCell ref="A107:I107"/>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A88:D88"/>
    <mergeCell ref="A89:I89"/>
    <mergeCell ref="B78:D78"/>
    <mergeCell ref="A79:D79"/>
    <mergeCell ref="A80:J80"/>
    <mergeCell ref="A81:J81"/>
    <mergeCell ref="B82:D82"/>
    <mergeCell ref="A83:I83"/>
    <mergeCell ref="B72:D72"/>
    <mergeCell ref="B73:D73"/>
    <mergeCell ref="B74:D74"/>
    <mergeCell ref="B75:D75"/>
    <mergeCell ref="B76:D76"/>
    <mergeCell ref="B77:D77"/>
    <mergeCell ref="A66:J66"/>
    <mergeCell ref="A67:J67"/>
    <mergeCell ref="A68:J68"/>
    <mergeCell ref="A69:J69"/>
    <mergeCell ref="B70:D70"/>
    <mergeCell ref="B71:D71"/>
    <mergeCell ref="A60:J60"/>
    <mergeCell ref="A61:D61"/>
    <mergeCell ref="A62:J62"/>
    <mergeCell ref="A63:J63"/>
    <mergeCell ref="A64:D64"/>
    <mergeCell ref="A65:J65"/>
    <mergeCell ref="A54:J54"/>
    <mergeCell ref="C55:D55"/>
    <mergeCell ref="C56:D56"/>
    <mergeCell ref="C57:D57"/>
    <mergeCell ref="C58:D58"/>
    <mergeCell ref="A59:D59"/>
    <mergeCell ref="B48:D48"/>
    <mergeCell ref="B49:D49"/>
    <mergeCell ref="B50:D50"/>
    <mergeCell ref="B51:D51"/>
    <mergeCell ref="A52:D52"/>
    <mergeCell ref="A53:J53"/>
    <mergeCell ref="B42:D42"/>
    <mergeCell ref="A43:D43"/>
    <mergeCell ref="A44:D44"/>
    <mergeCell ref="A45:J45"/>
    <mergeCell ref="A46:J46"/>
    <mergeCell ref="B47:D47"/>
    <mergeCell ref="A36:J36"/>
    <mergeCell ref="B37:D37"/>
    <mergeCell ref="B38:D38"/>
    <mergeCell ref="B39:D39"/>
    <mergeCell ref="B40:D40"/>
    <mergeCell ref="B41:D41"/>
    <mergeCell ref="B30:D30"/>
    <mergeCell ref="B31:D31"/>
    <mergeCell ref="B32:D32"/>
    <mergeCell ref="B33:D33"/>
    <mergeCell ref="A34:D34"/>
    <mergeCell ref="A35:J35"/>
    <mergeCell ref="A24:J24"/>
    <mergeCell ref="A25:J25"/>
    <mergeCell ref="B26:D26"/>
    <mergeCell ref="A27:J27"/>
    <mergeCell ref="B28:D28"/>
    <mergeCell ref="B29:D29"/>
    <mergeCell ref="A18:J18"/>
    <mergeCell ref="A19:J19"/>
    <mergeCell ref="A20:J20"/>
    <mergeCell ref="A21:J21"/>
    <mergeCell ref="A22:J22"/>
    <mergeCell ref="A23:J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fitToHeight="0" orientation="portrait" r:id="rId1"/>
  <rowBreaks count="15" manualBreakCount="15">
    <brk id="44" max="9" man="1"/>
    <brk id="65" max="9" man="1"/>
    <brk id="107" max="9" man="1"/>
    <brk id="146" max="9" man="1"/>
    <brk id="190" max="9" man="1"/>
    <brk id="208" max="9" man="1"/>
    <brk id="258" max="9" man="1"/>
    <brk id="278" max="9" man="1"/>
    <brk id="319" max="9" man="1"/>
    <brk id="339" max="9" man="1"/>
    <brk id="379" max="9" man="1"/>
    <brk id="399" max="9" man="1"/>
    <brk id="440" max="9" man="1"/>
    <brk id="470" max="9" man="1"/>
    <brk id="521"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36"/>
  <sheetViews>
    <sheetView view="pageBreakPre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ht="15" customHeight="1" x14ac:dyDescent="0.2">
      <c r="A1" s="98" t="s">
        <v>254</v>
      </c>
      <c r="B1" s="98"/>
      <c r="C1" s="99"/>
      <c r="D1" s="99"/>
      <c r="E1" s="99"/>
      <c r="F1" s="99"/>
      <c r="G1" s="99"/>
      <c r="H1" s="99"/>
      <c r="I1" s="99"/>
      <c r="J1" s="99"/>
    </row>
    <row r="2" spans="1:10" ht="15" customHeight="1" x14ac:dyDescent="0.2">
      <c r="A2" s="98" t="s">
        <v>1775</v>
      </c>
      <c r="B2" s="98"/>
      <c r="C2" s="101"/>
      <c r="D2" s="101"/>
      <c r="E2" s="101"/>
      <c r="F2" s="101"/>
      <c r="G2" s="101"/>
      <c r="H2" s="101"/>
      <c r="I2" s="101"/>
      <c r="J2" s="101"/>
    </row>
    <row r="3" spans="1:10" ht="15" thickBot="1" x14ac:dyDescent="0.25">
      <c r="A3" s="409"/>
      <c r="B3" s="409"/>
      <c r="C3" s="409"/>
      <c r="D3" s="409"/>
      <c r="E3" s="409"/>
      <c r="F3" s="409"/>
      <c r="G3" s="409"/>
      <c r="H3" s="409"/>
      <c r="I3" s="409"/>
      <c r="J3" s="409"/>
    </row>
    <row r="4" spans="1:10" x14ac:dyDescent="0.2">
      <c r="A4" s="253" t="s">
        <v>256</v>
      </c>
      <c r="B4" s="254" t="s">
        <v>257</v>
      </c>
      <c r="C4" s="254"/>
      <c r="D4" s="254"/>
      <c r="E4" s="254"/>
      <c r="F4" s="254"/>
      <c r="G4" s="255"/>
      <c r="H4" s="255"/>
      <c r="I4" s="255"/>
      <c r="J4" s="256"/>
    </row>
    <row r="5" spans="1:10" x14ac:dyDescent="0.2">
      <c r="A5" s="109"/>
      <c r="B5" s="106" t="s">
        <v>1776</v>
      </c>
      <c r="C5" s="110"/>
      <c r="D5" s="110"/>
      <c r="E5" s="106"/>
      <c r="F5" s="106"/>
      <c r="G5" s="111"/>
      <c r="H5" s="111"/>
      <c r="I5" s="111"/>
      <c r="J5" s="112">
        <f>H55</f>
        <v>21743500</v>
      </c>
    </row>
    <row r="6" spans="1:10" x14ac:dyDescent="0.2">
      <c r="A6" s="115" t="s">
        <v>260</v>
      </c>
      <c r="B6" s="116" t="s">
        <v>261</v>
      </c>
      <c r="C6" s="116"/>
      <c r="D6" s="116" t="s">
        <v>1777</v>
      </c>
      <c r="E6" s="116"/>
      <c r="F6" s="117"/>
      <c r="G6" s="117"/>
      <c r="H6" s="117"/>
      <c r="I6" s="117"/>
      <c r="J6" s="118"/>
    </row>
    <row r="7" spans="1:10" x14ac:dyDescent="0.2">
      <c r="A7" s="115" t="s">
        <v>263</v>
      </c>
      <c r="B7" s="116" t="s">
        <v>822</v>
      </c>
      <c r="C7" s="116"/>
      <c r="D7" s="116"/>
      <c r="E7" s="116"/>
      <c r="F7" s="117"/>
      <c r="G7" s="117"/>
      <c r="H7" s="117"/>
      <c r="I7" s="117"/>
      <c r="J7" s="118"/>
    </row>
    <row r="8" spans="1:10" ht="15" x14ac:dyDescent="0.2">
      <c r="A8" s="410"/>
      <c r="B8" s="411"/>
      <c r="C8" s="411"/>
      <c r="D8" s="411"/>
      <c r="E8" s="411"/>
      <c r="F8" s="411"/>
      <c r="G8" s="411"/>
      <c r="H8" s="411"/>
      <c r="I8" s="411"/>
      <c r="J8" s="412"/>
    </row>
    <row r="9" spans="1:10" ht="15" customHeight="1" x14ac:dyDescent="0.2">
      <c r="A9" s="128" t="s">
        <v>265</v>
      </c>
      <c r="B9" s="128"/>
      <c r="C9" s="128"/>
      <c r="D9" s="128"/>
      <c r="E9" s="128"/>
      <c r="F9" s="128"/>
      <c r="G9" s="128"/>
      <c r="H9" s="128"/>
      <c r="I9" s="128"/>
      <c r="J9" s="128"/>
    </row>
    <row r="10" spans="1:10" s="367" customFormat="1" x14ac:dyDescent="0.2">
      <c r="A10" s="448" t="s">
        <v>1778</v>
      </c>
      <c r="B10" s="448"/>
      <c r="C10" s="448"/>
      <c r="D10" s="448"/>
      <c r="E10" s="448"/>
      <c r="F10" s="448"/>
      <c r="G10" s="448"/>
      <c r="H10" s="448"/>
      <c r="I10" s="448"/>
      <c r="J10" s="448"/>
    </row>
    <row r="11" spans="1:10" s="367" customFormat="1" ht="16.5" customHeight="1" x14ac:dyDescent="0.2">
      <c r="A11" s="343" t="s">
        <v>1779</v>
      </c>
      <c r="B11" s="343"/>
      <c r="C11" s="343"/>
      <c r="D11" s="343"/>
      <c r="E11" s="343"/>
      <c r="F11" s="343"/>
      <c r="G11" s="343"/>
      <c r="H11" s="343"/>
      <c r="I11" s="343"/>
      <c r="J11" s="343"/>
    </row>
    <row r="12" spans="1:10" s="367" customFormat="1" ht="15" customHeight="1" x14ac:dyDescent="0.2">
      <c r="A12" s="128" t="s">
        <v>267</v>
      </c>
      <c r="B12" s="128"/>
      <c r="C12" s="128"/>
      <c r="D12" s="128"/>
      <c r="E12" s="128"/>
      <c r="F12" s="128"/>
      <c r="G12" s="128"/>
      <c r="H12" s="128"/>
      <c r="I12" s="128"/>
      <c r="J12" s="128"/>
    </row>
    <row r="13" spans="1:10" s="367" customFormat="1" ht="15" customHeight="1" x14ac:dyDescent="0.2">
      <c r="A13" s="344" t="s">
        <v>1780</v>
      </c>
      <c r="B13" s="344"/>
      <c r="C13" s="344"/>
      <c r="D13" s="344"/>
      <c r="E13" s="344"/>
      <c r="F13" s="344"/>
      <c r="G13" s="344"/>
      <c r="H13" s="344"/>
      <c r="I13" s="344"/>
      <c r="J13" s="344"/>
    </row>
    <row r="14" spans="1:10" s="367" customFormat="1" ht="18" customHeight="1" x14ac:dyDescent="0.2">
      <c r="A14" s="343" t="s">
        <v>826</v>
      </c>
      <c r="B14" s="343"/>
      <c r="C14" s="343"/>
      <c r="D14" s="343"/>
      <c r="E14" s="343"/>
      <c r="F14" s="343"/>
      <c r="G14" s="343"/>
      <c r="H14" s="343"/>
      <c r="I14" s="343"/>
      <c r="J14" s="343"/>
    </row>
    <row r="15" spans="1:10" s="367" customFormat="1" x14ac:dyDescent="0.2">
      <c r="A15" s="344" t="s">
        <v>1781</v>
      </c>
      <c r="B15" s="344"/>
      <c r="C15" s="344"/>
      <c r="D15" s="344"/>
      <c r="E15" s="344"/>
      <c r="F15" s="344"/>
      <c r="G15" s="344"/>
      <c r="H15" s="344"/>
      <c r="I15" s="344"/>
      <c r="J15" s="344"/>
    </row>
    <row r="16" spans="1:10" s="367" customFormat="1" x14ac:dyDescent="0.2">
      <c r="A16" s="344" t="s">
        <v>827</v>
      </c>
      <c r="B16" s="344"/>
      <c r="C16" s="344"/>
      <c r="D16" s="344"/>
      <c r="E16" s="344"/>
      <c r="F16" s="344"/>
      <c r="G16" s="344"/>
      <c r="H16" s="344"/>
      <c r="I16" s="344"/>
      <c r="J16" s="344"/>
    </row>
    <row r="17" spans="1:10" ht="15" customHeight="1" x14ac:dyDescent="0.2">
      <c r="A17" s="128" t="s">
        <v>269</v>
      </c>
      <c r="B17" s="128"/>
      <c r="C17" s="128"/>
      <c r="D17" s="128"/>
      <c r="E17" s="128"/>
      <c r="F17" s="128"/>
      <c r="G17" s="128"/>
      <c r="H17" s="128"/>
      <c r="I17" s="128"/>
      <c r="J17" s="128"/>
    </row>
    <row r="18" spans="1:10" ht="24.75" customHeight="1" x14ac:dyDescent="0.2">
      <c r="A18" s="284" t="s">
        <v>1782</v>
      </c>
      <c r="B18" s="284"/>
      <c r="C18" s="284"/>
      <c r="D18" s="284"/>
      <c r="E18" s="284"/>
      <c r="F18" s="284"/>
      <c r="G18" s="284"/>
      <c r="H18" s="284"/>
      <c r="I18" s="284"/>
      <c r="J18" s="284"/>
    </row>
    <row r="19" spans="1:10" x14ac:dyDescent="0.2">
      <c r="A19" s="502"/>
      <c r="B19" s="503"/>
      <c r="C19" s="503"/>
      <c r="D19" s="503"/>
      <c r="E19" s="503"/>
      <c r="F19" s="503"/>
      <c r="G19" s="503"/>
      <c r="H19" s="503"/>
      <c r="I19" s="503"/>
      <c r="J19" s="504"/>
    </row>
    <row r="20" spans="1:10" ht="15" customHeight="1" x14ac:dyDescent="0.2">
      <c r="A20" s="128" t="s">
        <v>272</v>
      </c>
      <c r="B20" s="128"/>
      <c r="C20" s="128"/>
      <c r="D20" s="128"/>
      <c r="E20" s="128"/>
      <c r="F20" s="128"/>
      <c r="G20" s="128"/>
      <c r="H20" s="128"/>
      <c r="I20" s="128"/>
      <c r="J20" s="128"/>
    </row>
    <row r="21" spans="1:10" ht="24.75" customHeight="1" x14ac:dyDescent="0.2">
      <c r="A21" s="284" t="s">
        <v>1783</v>
      </c>
      <c r="B21" s="284"/>
      <c r="C21" s="284"/>
      <c r="D21" s="284"/>
      <c r="E21" s="284"/>
      <c r="F21" s="284"/>
      <c r="G21" s="284"/>
      <c r="H21" s="284"/>
      <c r="I21" s="284"/>
      <c r="J21" s="284"/>
    </row>
    <row r="22" spans="1:10" x14ac:dyDescent="0.2">
      <c r="A22" s="282"/>
      <c r="B22" s="282"/>
      <c r="C22" s="282"/>
      <c r="D22" s="282"/>
      <c r="E22" s="282"/>
      <c r="F22" s="282"/>
      <c r="G22" s="282"/>
      <c r="H22" s="282"/>
      <c r="I22" s="282"/>
      <c r="J22" s="282"/>
    </row>
    <row r="23" spans="1:10" ht="15" customHeight="1" x14ac:dyDescent="0.2">
      <c r="A23" s="128" t="s">
        <v>275</v>
      </c>
      <c r="B23" s="128"/>
      <c r="C23" s="128"/>
      <c r="D23" s="128"/>
      <c r="E23" s="128"/>
      <c r="F23" s="128"/>
      <c r="G23" s="128"/>
      <c r="H23" s="128"/>
      <c r="I23" s="128"/>
      <c r="J23" s="128"/>
    </row>
    <row r="24" spans="1:10" ht="33.75" x14ac:dyDescent="0.2">
      <c r="A24" s="130" t="s">
        <v>243</v>
      </c>
      <c r="B24" s="131" t="s">
        <v>242</v>
      </c>
      <c r="C24" s="131"/>
      <c r="D24" s="131"/>
      <c r="E24" s="132" t="str">
        <f>Summary!$G$25</f>
        <v>Actuals           2014-2015</v>
      </c>
      <c r="F24" s="132" t="str">
        <f>Summary!$H$25</f>
        <v>Approved Estimates          2015-2016</v>
      </c>
      <c r="G24" s="132" t="str">
        <f>Summary!$I$25</f>
        <v>Revised Estimates                 2015-2016</v>
      </c>
      <c r="H24" s="132" t="str">
        <f>Summary!$J$25</f>
        <v>Budget Estimates      2016-2017</v>
      </c>
      <c r="I24" s="132" t="str">
        <f>Summary!$K$25</f>
        <v>Forward Estimates     2017-2018</v>
      </c>
      <c r="J24" s="132" t="str">
        <f>Summary!$L$25</f>
        <v>Forward Estimates     2018-2019</v>
      </c>
    </row>
    <row r="25" spans="1:10" ht="15" customHeight="1" x14ac:dyDescent="0.2">
      <c r="A25" s="128" t="s">
        <v>276</v>
      </c>
      <c r="B25" s="128"/>
      <c r="C25" s="128"/>
      <c r="D25" s="128"/>
      <c r="E25" s="128"/>
      <c r="F25" s="128"/>
      <c r="G25" s="128"/>
      <c r="H25" s="128"/>
      <c r="I25" s="128"/>
      <c r="J25" s="128"/>
    </row>
    <row r="26" spans="1:10" x14ac:dyDescent="0.2">
      <c r="A26" s="207">
        <v>450</v>
      </c>
      <c r="B26" s="129" t="s">
        <v>501</v>
      </c>
      <c r="C26" s="129"/>
      <c r="D26" s="129"/>
      <c r="E26" s="211">
        <f t="shared" ref="E26:J26" si="0">E67</f>
        <v>349362.44000000006</v>
      </c>
      <c r="F26" s="209">
        <f t="shared" si="0"/>
        <v>375800</v>
      </c>
      <c r="G26" s="211">
        <f t="shared" si="0"/>
        <v>405900</v>
      </c>
      <c r="H26" s="210">
        <f t="shared" si="0"/>
        <v>425800</v>
      </c>
      <c r="I26" s="211">
        <f t="shared" si="0"/>
        <v>425800</v>
      </c>
      <c r="J26" s="211">
        <f t="shared" si="0"/>
        <v>425800</v>
      </c>
    </row>
    <row r="27" spans="1:10" x14ac:dyDescent="0.2">
      <c r="A27" s="207">
        <v>451</v>
      </c>
      <c r="B27" s="129" t="s">
        <v>1784</v>
      </c>
      <c r="C27" s="129"/>
      <c r="D27" s="129"/>
      <c r="E27" s="211">
        <f t="shared" ref="E27:J27" si="1">E140</f>
        <v>0</v>
      </c>
      <c r="F27" s="209">
        <f t="shared" si="1"/>
        <v>0</v>
      </c>
      <c r="G27" s="211">
        <f t="shared" si="1"/>
        <v>0</v>
      </c>
      <c r="H27" s="210">
        <f t="shared" si="1"/>
        <v>0</v>
      </c>
      <c r="I27" s="211">
        <f t="shared" si="1"/>
        <v>0</v>
      </c>
      <c r="J27" s="211">
        <f t="shared" si="1"/>
        <v>0</v>
      </c>
    </row>
    <row r="28" spans="1:10" x14ac:dyDescent="0.2">
      <c r="A28" s="207">
        <v>452</v>
      </c>
      <c r="B28" s="129" t="s">
        <v>1785</v>
      </c>
      <c r="C28" s="129"/>
      <c r="D28" s="129"/>
      <c r="E28" s="211">
        <f t="shared" ref="E28:J28" si="2">E219</f>
        <v>1200</v>
      </c>
      <c r="F28" s="209">
        <f t="shared" si="2"/>
        <v>0</v>
      </c>
      <c r="G28" s="211">
        <f t="shared" si="2"/>
        <v>0</v>
      </c>
      <c r="H28" s="210">
        <f t="shared" si="2"/>
        <v>0</v>
      </c>
      <c r="I28" s="211">
        <f t="shared" si="2"/>
        <v>0</v>
      </c>
      <c r="J28" s="211">
        <f t="shared" si="2"/>
        <v>0</v>
      </c>
    </row>
    <row r="29" spans="1:10" x14ac:dyDescent="0.2">
      <c r="A29" s="207">
        <v>454</v>
      </c>
      <c r="B29" s="129" t="s">
        <v>1786</v>
      </c>
      <c r="C29" s="129"/>
      <c r="D29" s="129"/>
      <c r="E29" s="211">
        <f t="shared" ref="E29:J29" si="3">E306</f>
        <v>50257.04</v>
      </c>
      <c r="F29" s="209">
        <f t="shared" si="3"/>
        <v>80000</v>
      </c>
      <c r="G29" s="211">
        <f t="shared" si="3"/>
        <v>88000</v>
      </c>
      <c r="H29" s="210">
        <f t="shared" si="3"/>
        <v>80000</v>
      </c>
      <c r="I29" s="211">
        <f t="shared" si="3"/>
        <v>80000</v>
      </c>
      <c r="J29" s="211">
        <f t="shared" si="3"/>
        <v>80000</v>
      </c>
    </row>
    <row r="30" spans="1:10" x14ac:dyDescent="0.2">
      <c r="A30" s="207">
        <v>455</v>
      </c>
      <c r="B30" s="129" t="s">
        <v>1787</v>
      </c>
      <c r="C30" s="129"/>
      <c r="D30" s="129"/>
      <c r="E30" s="211">
        <f t="shared" ref="E30:J30" si="4">E384</f>
        <v>0</v>
      </c>
      <c r="F30" s="209">
        <f t="shared" si="4"/>
        <v>0</v>
      </c>
      <c r="G30" s="211">
        <f t="shared" si="4"/>
        <v>0</v>
      </c>
      <c r="H30" s="210">
        <f t="shared" si="4"/>
        <v>0</v>
      </c>
      <c r="I30" s="211">
        <f t="shared" si="4"/>
        <v>0</v>
      </c>
      <c r="J30" s="211">
        <f t="shared" si="4"/>
        <v>0</v>
      </c>
    </row>
    <row r="31" spans="1:10" ht="15" customHeight="1" x14ac:dyDescent="0.2">
      <c r="A31" s="137" t="s">
        <v>1788</v>
      </c>
      <c r="B31" s="137"/>
      <c r="C31" s="137"/>
      <c r="D31" s="137"/>
      <c r="E31" s="138">
        <f t="shared" ref="E31:J31" si="5">SUM(E26:E30)</f>
        <v>400819.48000000004</v>
      </c>
      <c r="F31" s="138">
        <f t="shared" si="5"/>
        <v>455800</v>
      </c>
      <c r="G31" s="138">
        <f t="shared" si="5"/>
        <v>493900</v>
      </c>
      <c r="H31" s="138">
        <f t="shared" si="5"/>
        <v>505800</v>
      </c>
      <c r="I31" s="138">
        <f t="shared" si="5"/>
        <v>505800</v>
      </c>
      <c r="J31" s="138">
        <f t="shared" si="5"/>
        <v>505800</v>
      </c>
    </row>
    <row r="32" spans="1:10" ht="15" customHeight="1" x14ac:dyDescent="0.2">
      <c r="A32" s="129"/>
      <c r="B32" s="129"/>
      <c r="C32" s="129"/>
      <c r="D32" s="129"/>
      <c r="E32" s="129"/>
      <c r="F32" s="129"/>
      <c r="G32" s="129"/>
      <c r="H32" s="129"/>
      <c r="I32" s="129"/>
      <c r="J32" s="129"/>
    </row>
    <row r="33" spans="1:10" ht="15" customHeight="1" x14ac:dyDescent="0.2">
      <c r="A33" s="128" t="s">
        <v>281</v>
      </c>
      <c r="B33" s="128"/>
      <c r="C33" s="128"/>
      <c r="D33" s="128"/>
      <c r="E33" s="128"/>
      <c r="F33" s="128"/>
      <c r="G33" s="128"/>
      <c r="H33" s="128"/>
      <c r="I33" s="128"/>
      <c r="J33" s="128"/>
    </row>
    <row r="34" spans="1:10" x14ac:dyDescent="0.2">
      <c r="A34" s="207">
        <v>450</v>
      </c>
      <c r="B34" s="129" t="s">
        <v>501</v>
      </c>
      <c r="C34" s="129"/>
      <c r="D34" s="129"/>
      <c r="E34" s="211">
        <f t="shared" ref="E34:J34" si="6">E92+E99</f>
        <v>783629.69</v>
      </c>
      <c r="F34" s="209">
        <f t="shared" si="6"/>
        <v>5070600</v>
      </c>
      <c r="G34" s="211">
        <f t="shared" si="6"/>
        <v>4670100</v>
      </c>
      <c r="H34" s="210">
        <f t="shared" si="6"/>
        <v>3682000</v>
      </c>
      <c r="I34" s="211">
        <f t="shared" si="6"/>
        <v>1099700</v>
      </c>
      <c r="J34" s="211">
        <f t="shared" si="6"/>
        <v>1106800</v>
      </c>
    </row>
    <row r="35" spans="1:10" x14ac:dyDescent="0.2">
      <c r="A35" s="207">
        <v>451</v>
      </c>
      <c r="B35" s="129" t="s">
        <v>1784</v>
      </c>
      <c r="C35" s="129"/>
      <c r="D35" s="129"/>
      <c r="E35" s="211">
        <f t="shared" ref="E35:J35" si="7">E158+E165</f>
        <v>1966043.26</v>
      </c>
      <c r="F35" s="209">
        <f t="shared" si="7"/>
        <v>2210600</v>
      </c>
      <c r="G35" s="211">
        <f t="shared" si="7"/>
        <v>2010500</v>
      </c>
      <c r="H35" s="210">
        <f t="shared" si="7"/>
        <v>2341300</v>
      </c>
      <c r="I35" s="211">
        <f t="shared" si="7"/>
        <v>2444100</v>
      </c>
      <c r="J35" s="211">
        <f t="shared" si="7"/>
        <v>2447200</v>
      </c>
    </row>
    <row r="36" spans="1:10" x14ac:dyDescent="0.2">
      <c r="A36" s="207">
        <v>452</v>
      </c>
      <c r="B36" s="129" t="s">
        <v>1785</v>
      </c>
      <c r="C36" s="129"/>
      <c r="D36" s="129"/>
      <c r="E36" s="211">
        <f t="shared" ref="E36:J36" si="8">E241+E248</f>
        <v>6989221.6800000006</v>
      </c>
      <c r="F36" s="209">
        <f t="shared" si="8"/>
        <v>6972000</v>
      </c>
      <c r="G36" s="211">
        <f t="shared" si="8"/>
        <v>7722700</v>
      </c>
      <c r="H36" s="210">
        <f t="shared" si="8"/>
        <v>8325500</v>
      </c>
      <c r="I36" s="211">
        <f t="shared" si="8"/>
        <v>8432000</v>
      </c>
      <c r="J36" s="211">
        <f t="shared" si="8"/>
        <v>8343000</v>
      </c>
    </row>
    <row r="37" spans="1:10" x14ac:dyDescent="0.2">
      <c r="A37" s="207">
        <v>454</v>
      </c>
      <c r="B37" s="129" t="s">
        <v>1786</v>
      </c>
      <c r="C37" s="129"/>
      <c r="D37" s="129"/>
      <c r="E37" s="211">
        <f t="shared" ref="E37:J37" si="9">E333+E339</f>
        <v>4642219.5</v>
      </c>
      <c r="F37" s="209">
        <f t="shared" si="9"/>
        <v>5269300</v>
      </c>
      <c r="G37" s="211">
        <f t="shared" si="9"/>
        <v>5253500</v>
      </c>
      <c r="H37" s="210">
        <f t="shared" si="9"/>
        <v>5862600</v>
      </c>
      <c r="I37" s="211">
        <f t="shared" si="9"/>
        <v>5980100</v>
      </c>
      <c r="J37" s="211">
        <f t="shared" si="9"/>
        <v>6091500</v>
      </c>
    </row>
    <row r="38" spans="1:10" x14ac:dyDescent="0.2">
      <c r="A38" s="207">
        <v>455</v>
      </c>
      <c r="B38" s="129" t="s">
        <v>1787</v>
      </c>
      <c r="C38" s="129"/>
      <c r="D38" s="129"/>
      <c r="E38" s="211">
        <f t="shared" ref="E38:J38" si="10">E402+E409</f>
        <v>1588168.61</v>
      </c>
      <c r="F38" s="209">
        <f t="shared" si="10"/>
        <v>1443700</v>
      </c>
      <c r="G38" s="211">
        <f t="shared" si="10"/>
        <v>1442100</v>
      </c>
      <c r="H38" s="210">
        <f t="shared" si="10"/>
        <v>1532100</v>
      </c>
      <c r="I38" s="211">
        <f t="shared" si="10"/>
        <v>1513100</v>
      </c>
      <c r="J38" s="211">
        <f t="shared" si="10"/>
        <v>1534600</v>
      </c>
    </row>
    <row r="39" spans="1:10" x14ac:dyDescent="0.2">
      <c r="A39" s="139" t="s">
        <v>1789</v>
      </c>
      <c r="B39" s="139"/>
      <c r="C39" s="139"/>
      <c r="D39" s="139"/>
      <c r="E39" s="140">
        <f t="shared" ref="E39:J39" si="11">SUM(E34:E38)</f>
        <v>15969282.74</v>
      </c>
      <c r="F39" s="140">
        <f t="shared" si="11"/>
        <v>20966200</v>
      </c>
      <c r="G39" s="140">
        <f t="shared" si="11"/>
        <v>21098900</v>
      </c>
      <c r="H39" s="140">
        <f t="shared" si="11"/>
        <v>21743500</v>
      </c>
      <c r="I39" s="140">
        <f t="shared" si="11"/>
        <v>19469000</v>
      </c>
      <c r="J39" s="140">
        <f t="shared" si="11"/>
        <v>19523100</v>
      </c>
    </row>
    <row r="40" spans="1:10" ht="15" customHeight="1" x14ac:dyDescent="0.2">
      <c r="A40" s="151"/>
      <c r="B40" s="151"/>
      <c r="C40" s="151"/>
      <c r="D40" s="151"/>
      <c r="E40" s="261"/>
      <c r="F40" s="286"/>
      <c r="G40" s="261"/>
      <c r="H40" s="303"/>
      <c r="I40" s="261"/>
      <c r="J40" s="261"/>
    </row>
    <row r="41" spans="1:10" x14ac:dyDescent="0.2">
      <c r="A41" s="141" t="s">
        <v>283</v>
      </c>
      <c r="B41" s="141"/>
      <c r="C41" s="141"/>
      <c r="D41" s="141"/>
      <c r="E41" s="141"/>
      <c r="F41" s="141"/>
      <c r="G41" s="141"/>
      <c r="H41" s="141"/>
      <c r="I41" s="141"/>
      <c r="J41" s="141"/>
    </row>
    <row r="42" spans="1:10" ht="15" customHeight="1" x14ac:dyDescent="0.2">
      <c r="A42" s="131" t="s">
        <v>284</v>
      </c>
      <c r="B42" s="131"/>
      <c r="C42" s="131"/>
      <c r="D42" s="131"/>
      <c r="E42" s="131"/>
      <c r="F42" s="131"/>
      <c r="G42" s="131"/>
      <c r="H42" s="131"/>
      <c r="I42" s="131"/>
      <c r="J42" s="131"/>
    </row>
    <row r="43" spans="1:10" x14ac:dyDescent="0.2">
      <c r="A43" s="207"/>
      <c r="B43" s="129" t="s">
        <v>7</v>
      </c>
      <c r="C43" s="129"/>
      <c r="D43" s="129"/>
      <c r="E43" s="211">
        <f t="shared" ref="E43:J43" si="12">E451</f>
        <v>6506576.46</v>
      </c>
      <c r="F43" s="209">
        <f t="shared" si="12"/>
        <v>6960000</v>
      </c>
      <c r="G43" s="211">
        <f t="shared" si="12"/>
        <v>6527400</v>
      </c>
      <c r="H43" s="210">
        <f t="shared" si="12"/>
        <v>7436200</v>
      </c>
      <c r="I43" s="211">
        <f t="shared" si="12"/>
        <v>7758600</v>
      </c>
      <c r="J43" s="211">
        <f t="shared" si="12"/>
        <v>7844700</v>
      </c>
    </row>
    <row r="44" spans="1:10" x14ac:dyDescent="0.2">
      <c r="A44" s="207"/>
      <c r="B44" s="129" t="s">
        <v>196</v>
      </c>
      <c r="C44" s="129"/>
      <c r="D44" s="129"/>
      <c r="E44" s="211">
        <f t="shared" ref="E44:J44" si="13">E458</f>
        <v>107567.61</v>
      </c>
      <c r="F44" s="209">
        <f t="shared" si="13"/>
        <v>114100</v>
      </c>
      <c r="G44" s="211">
        <f t="shared" si="13"/>
        <v>110000</v>
      </c>
      <c r="H44" s="210">
        <f t="shared" si="13"/>
        <v>96400</v>
      </c>
      <c r="I44" s="211">
        <f t="shared" si="13"/>
        <v>96400</v>
      </c>
      <c r="J44" s="211">
        <f t="shared" si="13"/>
        <v>96400</v>
      </c>
    </row>
    <row r="45" spans="1:10" x14ac:dyDescent="0.2">
      <c r="A45" s="207"/>
      <c r="B45" s="129" t="s">
        <v>285</v>
      </c>
      <c r="C45" s="129"/>
      <c r="D45" s="129"/>
      <c r="E45" s="211">
        <f t="shared" ref="E45:J45" si="14">E465</f>
        <v>1166069.69</v>
      </c>
      <c r="F45" s="209">
        <f t="shared" si="14"/>
        <v>1222700</v>
      </c>
      <c r="G45" s="211">
        <f t="shared" si="14"/>
        <v>1143800</v>
      </c>
      <c r="H45" s="210">
        <f t="shared" si="14"/>
        <v>1360700</v>
      </c>
      <c r="I45" s="211">
        <f t="shared" si="14"/>
        <v>1349900</v>
      </c>
      <c r="J45" s="211">
        <f t="shared" si="14"/>
        <v>1349900</v>
      </c>
    </row>
    <row r="46" spans="1:10" x14ac:dyDescent="0.2">
      <c r="A46" s="207"/>
      <c r="B46" s="129" t="s">
        <v>198</v>
      </c>
      <c r="C46" s="129"/>
      <c r="D46" s="129"/>
      <c r="E46" s="211">
        <f t="shared" ref="E46:J46" si="15">E472</f>
        <v>91551</v>
      </c>
      <c r="F46" s="209">
        <f t="shared" si="15"/>
        <v>234700</v>
      </c>
      <c r="G46" s="211">
        <f t="shared" si="15"/>
        <v>211300</v>
      </c>
      <c r="H46" s="210">
        <f t="shared" si="15"/>
        <v>150500</v>
      </c>
      <c r="I46" s="211">
        <f t="shared" si="15"/>
        <v>188000</v>
      </c>
      <c r="J46" s="211">
        <f t="shared" si="15"/>
        <v>156000</v>
      </c>
    </row>
    <row r="47" spans="1:10" x14ac:dyDescent="0.2">
      <c r="A47" s="207"/>
      <c r="B47" s="129" t="s">
        <v>286</v>
      </c>
      <c r="C47" s="129"/>
      <c r="D47" s="129"/>
      <c r="E47" s="211">
        <f t="shared" ref="E47:J47" si="16">E479</f>
        <v>8097517.9800000004</v>
      </c>
      <c r="F47" s="209">
        <f t="shared" si="16"/>
        <v>12434700</v>
      </c>
      <c r="G47" s="211">
        <f t="shared" si="16"/>
        <v>13085100</v>
      </c>
      <c r="H47" s="210">
        <f t="shared" si="16"/>
        <v>12306500</v>
      </c>
      <c r="I47" s="211">
        <f t="shared" si="16"/>
        <v>10076100</v>
      </c>
      <c r="J47" s="211">
        <f t="shared" si="16"/>
        <v>10076100</v>
      </c>
    </row>
    <row r="48" spans="1:10" ht="15" customHeight="1" x14ac:dyDescent="0.2">
      <c r="A48" s="139" t="s">
        <v>287</v>
      </c>
      <c r="B48" s="139"/>
      <c r="C48" s="139"/>
      <c r="D48" s="139"/>
      <c r="E48" s="140">
        <f t="shared" ref="E48:J48" si="17">SUM(E43:E47)</f>
        <v>15969282.74</v>
      </c>
      <c r="F48" s="140">
        <f t="shared" si="17"/>
        <v>20966200</v>
      </c>
      <c r="G48" s="140">
        <f t="shared" si="17"/>
        <v>21077600</v>
      </c>
      <c r="H48" s="140">
        <f t="shared" si="17"/>
        <v>21350300</v>
      </c>
      <c r="I48" s="140">
        <f t="shared" si="17"/>
        <v>19469000</v>
      </c>
      <c r="J48" s="140">
        <f t="shared" si="17"/>
        <v>19523100</v>
      </c>
    </row>
    <row r="49" spans="1:10" ht="15" customHeight="1" x14ac:dyDescent="0.2">
      <c r="A49" s="129"/>
      <c r="B49" s="129"/>
      <c r="C49" s="129"/>
      <c r="D49" s="129"/>
      <c r="E49" s="129"/>
      <c r="F49" s="129"/>
      <c r="G49" s="129"/>
      <c r="H49" s="129"/>
      <c r="I49" s="129"/>
      <c r="J49" s="129"/>
    </row>
    <row r="50" spans="1:10" ht="14.25" customHeight="1" x14ac:dyDescent="0.2">
      <c r="A50" s="131" t="s">
        <v>15</v>
      </c>
      <c r="B50" s="131"/>
      <c r="C50" s="131"/>
      <c r="D50" s="131"/>
      <c r="E50" s="131"/>
      <c r="F50" s="131"/>
      <c r="G50" s="131"/>
      <c r="H50" s="131"/>
      <c r="I50" s="131"/>
      <c r="J50" s="131"/>
    </row>
    <row r="51" spans="1:10" ht="15" customHeight="1" x14ac:dyDescent="0.2">
      <c r="A51" s="130" t="s">
        <v>243</v>
      </c>
      <c r="B51" s="130" t="s">
        <v>244</v>
      </c>
      <c r="C51" s="131" t="s">
        <v>245</v>
      </c>
      <c r="D51" s="142"/>
      <c r="E51" s="143"/>
      <c r="F51" s="143"/>
      <c r="G51" s="143"/>
      <c r="H51" s="143"/>
      <c r="I51" s="143"/>
      <c r="J51" s="143"/>
    </row>
    <row r="52" spans="1:10" x14ac:dyDescent="0.2">
      <c r="A52" s="492" t="str">
        <f>RIGHT(A97,3)</f>
        <v>44A</v>
      </c>
      <c r="B52" s="286" t="str">
        <f>B97</f>
        <v>UNICEF</v>
      </c>
      <c r="C52" s="493" t="str">
        <f>C97</f>
        <v>Child Safeguarding and Protection</v>
      </c>
      <c r="D52" s="493"/>
      <c r="E52" s="211">
        <f>E97</f>
        <v>0</v>
      </c>
      <c r="F52" s="211">
        <f t="shared" ref="F52:J53" si="18">F97</f>
        <v>0</v>
      </c>
      <c r="G52" s="211">
        <f t="shared" si="18"/>
        <v>21300</v>
      </c>
      <c r="H52" s="210">
        <f t="shared" si="18"/>
        <v>22000</v>
      </c>
      <c r="I52" s="211">
        <f t="shared" si="18"/>
        <v>0</v>
      </c>
      <c r="J52" s="211">
        <f t="shared" si="18"/>
        <v>0</v>
      </c>
    </row>
    <row r="53" spans="1:10" x14ac:dyDescent="0.2">
      <c r="A53" s="492" t="str">
        <f>RIGHT(A98,3)</f>
        <v>91A</v>
      </c>
      <c r="B53" s="286" t="str">
        <f>B98</f>
        <v>DFID</v>
      </c>
      <c r="C53" s="493" t="str">
        <f>C98</f>
        <v>Solid Waste Management</v>
      </c>
      <c r="D53" s="493"/>
      <c r="E53" s="211">
        <f>E98</f>
        <v>0</v>
      </c>
      <c r="F53" s="211">
        <f t="shared" si="18"/>
        <v>0</v>
      </c>
      <c r="G53" s="211">
        <f t="shared" si="18"/>
        <v>0</v>
      </c>
      <c r="H53" s="210">
        <f t="shared" si="18"/>
        <v>371200</v>
      </c>
      <c r="I53" s="211">
        <f t="shared" si="18"/>
        <v>0</v>
      </c>
      <c r="J53" s="211">
        <f t="shared" si="18"/>
        <v>0</v>
      </c>
    </row>
    <row r="54" spans="1:10" x14ac:dyDescent="0.2">
      <c r="A54" s="139" t="s">
        <v>69</v>
      </c>
      <c r="B54" s="139"/>
      <c r="C54" s="139"/>
      <c r="D54" s="139"/>
      <c r="E54" s="140">
        <f t="shared" ref="E54:G54" si="19">SUM(E52:E53)</f>
        <v>0</v>
      </c>
      <c r="F54" s="140">
        <f t="shared" si="19"/>
        <v>0</v>
      </c>
      <c r="G54" s="140">
        <f t="shared" si="19"/>
        <v>21300</v>
      </c>
      <c r="H54" s="140">
        <f>SUM(H52:H53)</f>
        <v>393200</v>
      </c>
      <c r="I54" s="140">
        <f t="shared" ref="I54:J54" si="20">SUM(I52:I53)</f>
        <v>0</v>
      </c>
      <c r="J54" s="140">
        <f t="shared" si="20"/>
        <v>0</v>
      </c>
    </row>
    <row r="55" spans="1:10" ht="15" customHeight="1" x14ac:dyDescent="0.2">
      <c r="A55" s="137" t="s">
        <v>1789</v>
      </c>
      <c r="B55" s="137"/>
      <c r="C55" s="137"/>
      <c r="D55" s="137"/>
      <c r="E55" s="147">
        <f t="shared" ref="E55:J55" si="21">SUM(E48,E54)</f>
        <v>15969282.74</v>
      </c>
      <c r="F55" s="147">
        <f t="shared" si="21"/>
        <v>20966200</v>
      </c>
      <c r="G55" s="147">
        <f t="shared" si="21"/>
        <v>21098900</v>
      </c>
      <c r="H55" s="147">
        <f t="shared" si="21"/>
        <v>21743500</v>
      </c>
      <c r="I55" s="147">
        <f t="shared" si="21"/>
        <v>19469000</v>
      </c>
      <c r="J55" s="147">
        <f t="shared" si="21"/>
        <v>19523100</v>
      </c>
    </row>
    <row r="56" spans="1:10" x14ac:dyDescent="0.2">
      <c r="A56" s="129"/>
      <c r="B56" s="129"/>
      <c r="C56" s="129"/>
      <c r="D56" s="129"/>
      <c r="E56" s="129"/>
      <c r="F56" s="129"/>
      <c r="G56" s="129"/>
      <c r="H56" s="129"/>
      <c r="I56" s="129"/>
      <c r="J56" s="129"/>
    </row>
    <row r="57" spans="1:10" ht="15" customHeight="1" x14ac:dyDescent="0.2">
      <c r="A57" s="128" t="s">
        <v>288</v>
      </c>
      <c r="B57" s="128"/>
      <c r="C57" s="128"/>
      <c r="D57" s="128"/>
      <c r="E57" s="128"/>
      <c r="F57" s="128"/>
      <c r="G57" s="128"/>
      <c r="H57" s="128"/>
      <c r="I57" s="128"/>
      <c r="J57" s="128"/>
    </row>
    <row r="58" spans="1:10" x14ac:dyDescent="0.2">
      <c r="A58" s="137" t="s">
        <v>289</v>
      </c>
      <c r="B58" s="137"/>
      <c r="C58" s="137"/>
      <c r="D58" s="137"/>
      <c r="E58" s="149"/>
      <c r="F58" s="149"/>
      <c r="G58" s="149"/>
      <c r="H58" s="148"/>
      <c r="I58" s="149"/>
      <c r="J58" s="149"/>
    </row>
    <row r="59" spans="1:10" ht="15" customHeight="1" x14ac:dyDescent="0.2">
      <c r="A59" s="129"/>
      <c r="B59" s="129"/>
      <c r="C59" s="129"/>
      <c r="D59" s="129"/>
      <c r="E59" s="129"/>
      <c r="F59" s="129"/>
      <c r="G59" s="129"/>
      <c r="H59" s="129"/>
      <c r="I59" s="129"/>
      <c r="J59" s="129"/>
    </row>
    <row r="60" spans="1:10" ht="15" customHeight="1" x14ac:dyDescent="0.2">
      <c r="A60" s="150" t="s">
        <v>1790</v>
      </c>
      <c r="B60" s="150"/>
      <c r="C60" s="150"/>
      <c r="D60" s="150"/>
      <c r="E60" s="150"/>
      <c r="F60" s="150"/>
      <c r="G60" s="150"/>
      <c r="H60" s="150"/>
      <c r="I60" s="150"/>
      <c r="J60" s="150"/>
    </row>
    <row r="61" spans="1:10" x14ac:dyDescent="0.2">
      <c r="A61" s="151" t="s">
        <v>291</v>
      </c>
      <c r="B61" s="151"/>
      <c r="C61" s="151"/>
      <c r="D61" s="101"/>
      <c r="E61" s="101"/>
      <c r="F61" s="101"/>
      <c r="G61" s="101"/>
      <c r="H61" s="101"/>
      <c r="I61" s="101"/>
      <c r="J61" s="101"/>
    </row>
    <row r="62" spans="1:10" ht="24" customHeight="1" x14ac:dyDescent="0.2">
      <c r="A62" s="129" t="s">
        <v>1791</v>
      </c>
      <c r="B62" s="129"/>
      <c r="C62" s="129"/>
      <c r="D62" s="129"/>
      <c r="E62" s="129"/>
      <c r="F62" s="129"/>
      <c r="G62" s="129"/>
      <c r="H62" s="129"/>
      <c r="I62" s="129"/>
      <c r="J62" s="129"/>
    </row>
    <row r="63" spans="1:10" x14ac:dyDescent="0.2">
      <c r="A63" s="128" t="s">
        <v>293</v>
      </c>
      <c r="B63" s="128"/>
      <c r="C63" s="128"/>
      <c r="D63" s="128"/>
      <c r="E63" s="128"/>
      <c r="F63" s="128"/>
      <c r="G63" s="128"/>
      <c r="H63" s="128"/>
      <c r="I63" s="128"/>
      <c r="J63" s="128"/>
    </row>
    <row r="64" spans="1:10" ht="33.75" customHeight="1" x14ac:dyDescent="0.2">
      <c r="A64" s="152" t="s">
        <v>243</v>
      </c>
      <c r="B64" s="151" t="s">
        <v>242</v>
      </c>
      <c r="C64" s="151"/>
      <c r="D64" s="151"/>
      <c r="E64" s="132" t="str">
        <f t="shared" ref="E64:J64" si="22">E24</f>
        <v>Actuals           2014-2015</v>
      </c>
      <c r="F64" s="132" t="str">
        <f t="shared" si="22"/>
        <v>Approved Estimates          2015-2016</v>
      </c>
      <c r="G64" s="132" t="str">
        <f t="shared" si="22"/>
        <v>Revised Estimates                 2015-2016</v>
      </c>
      <c r="H64" s="132" t="str">
        <f t="shared" si="22"/>
        <v>Budget Estimates      2016-2017</v>
      </c>
      <c r="I64" s="132" t="str">
        <f t="shared" si="22"/>
        <v>Forward Estimates     2017-2018</v>
      </c>
      <c r="J64" s="132" t="str">
        <f t="shared" si="22"/>
        <v>Forward Estimates     2018-2019</v>
      </c>
    </row>
    <row r="65" spans="1:10" x14ac:dyDescent="0.2">
      <c r="A65" s="207">
        <v>130</v>
      </c>
      <c r="B65" s="129" t="s">
        <v>1792</v>
      </c>
      <c r="C65" s="129" t="s">
        <v>1792</v>
      </c>
      <c r="D65" s="129" t="s">
        <v>1792</v>
      </c>
      <c r="E65" s="211">
        <v>230</v>
      </c>
      <c r="F65" s="211">
        <v>800</v>
      </c>
      <c r="G65" s="211">
        <v>500</v>
      </c>
      <c r="H65" s="210">
        <v>800</v>
      </c>
      <c r="I65" s="211">
        <v>800</v>
      </c>
      <c r="J65" s="211">
        <v>800</v>
      </c>
    </row>
    <row r="66" spans="1:10" x14ac:dyDescent="0.2">
      <c r="A66" s="207">
        <v>160</v>
      </c>
      <c r="B66" s="129" t="s">
        <v>1793</v>
      </c>
      <c r="C66" s="129" t="s">
        <v>1793</v>
      </c>
      <c r="D66" s="129" t="s">
        <v>1793</v>
      </c>
      <c r="E66" s="211">
        <v>349132.44000000006</v>
      </c>
      <c r="F66" s="211">
        <v>375000</v>
      </c>
      <c r="G66" s="211">
        <v>405400</v>
      </c>
      <c r="H66" s="210">
        <v>425000</v>
      </c>
      <c r="I66" s="211">
        <v>425000</v>
      </c>
      <c r="J66" s="211">
        <v>425000</v>
      </c>
    </row>
    <row r="67" spans="1:10" x14ac:dyDescent="0.2">
      <c r="A67" s="137" t="s">
        <v>1788</v>
      </c>
      <c r="B67" s="137"/>
      <c r="C67" s="137"/>
      <c r="D67" s="137"/>
      <c r="E67" s="138">
        <f t="shared" ref="E67:J67" si="23">SUM(E65:E66)</f>
        <v>349362.44000000006</v>
      </c>
      <c r="F67" s="138">
        <f t="shared" si="23"/>
        <v>375800</v>
      </c>
      <c r="G67" s="138">
        <f t="shared" si="23"/>
        <v>405900</v>
      </c>
      <c r="H67" s="138">
        <f t="shared" si="23"/>
        <v>425800</v>
      </c>
      <c r="I67" s="138">
        <f t="shared" si="23"/>
        <v>425800</v>
      </c>
      <c r="J67" s="138">
        <f t="shared" si="23"/>
        <v>425800</v>
      </c>
    </row>
    <row r="68" spans="1:10" ht="9" customHeight="1" x14ac:dyDescent="0.2">
      <c r="A68" s="129"/>
      <c r="B68" s="129"/>
      <c r="C68" s="129"/>
      <c r="D68" s="129"/>
      <c r="E68" s="129"/>
      <c r="F68" s="129"/>
      <c r="G68" s="129"/>
      <c r="H68" s="129"/>
      <c r="I68" s="129"/>
      <c r="J68" s="129"/>
    </row>
    <row r="69" spans="1:10" ht="15" customHeight="1" x14ac:dyDescent="0.2">
      <c r="A69" s="128" t="s">
        <v>284</v>
      </c>
      <c r="B69" s="128"/>
      <c r="C69" s="128"/>
      <c r="D69" s="128"/>
      <c r="E69" s="128"/>
      <c r="F69" s="128"/>
      <c r="G69" s="128"/>
      <c r="H69" s="128"/>
      <c r="I69" s="128"/>
      <c r="J69" s="128"/>
    </row>
    <row r="70" spans="1:10" ht="33.75" x14ac:dyDescent="0.2">
      <c r="A70" s="152" t="s">
        <v>243</v>
      </c>
      <c r="B70" s="151" t="s">
        <v>242</v>
      </c>
      <c r="C70" s="151"/>
      <c r="D70" s="151"/>
      <c r="E70" s="132" t="str">
        <f t="shared" ref="E70:J70" si="24">E24</f>
        <v>Actuals           2014-2015</v>
      </c>
      <c r="F70" s="132" t="str">
        <f t="shared" si="24"/>
        <v>Approved Estimates          2015-2016</v>
      </c>
      <c r="G70" s="132" t="str">
        <f t="shared" si="24"/>
        <v>Revised Estimates                 2015-2016</v>
      </c>
      <c r="H70" s="132" t="str">
        <f t="shared" si="24"/>
        <v>Budget Estimates      2016-2017</v>
      </c>
      <c r="I70" s="132" t="str">
        <f t="shared" si="24"/>
        <v>Forward Estimates     2017-2018</v>
      </c>
      <c r="J70" s="132" t="str">
        <f t="shared" si="24"/>
        <v>Forward Estimates     2018-2019</v>
      </c>
    </row>
    <row r="71" spans="1:10" ht="13.5" customHeight="1" x14ac:dyDescent="0.2">
      <c r="A71" s="151" t="s">
        <v>7</v>
      </c>
      <c r="B71" s="151"/>
      <c r="C71" s="151"/>
      <c r="D71" s="151"/>
      <c r="E71" s="151"/>
      <c r="F71" s="151"/>
      <c r="G71" s="151"/>
      <c r="H71" s="151"/>
      <c r="I71" s="151"/>
      <c r="J71" s="190"/>
    </row>
    <row r="72" spans="1:10" x14ac:dyDescent="0.2">
      <c r="A72" s="207">
        <v>210</v>
      </c>
      <c r="B72" s="129" t="s">
        <v>7</v>
      </c>
      <c r="C72" s="129"/>
      <c r="D72" s="129"/>
      <c r="E72" s="211">
        <v>396181.01</v>
      </c>
      <c r="F72" s="209">
        <v>402900</v>
      </c>
      <c r="G72" s="211">
        <v>410000</v>
      </c>
      <c r="H72" s="210">
        <v>469100</v>
      </c>
      <c r="I72" s="211">
        <v>490400</v>
      </c>
      <c r="J72" s="211">
        <v>497500</v>
      </c>
    </row>
    <row r="73" spans="1:10" x14ac:dyDescent="0.2">
      <c r="A73" s="207">
        <v>212</v>
      </c>
      <c r="B73" s="129" t="s">
        <v>9</v>
      </c>
      <c r="C73" s="129"/>
      <c r="D73" s="129"/>
      <c r="E73" s="211">
        <v>0</v>
      </c>
      <c r="F73" s="209">
        <v>0</v>
      </c>
      <c r="G73" s="211">
        <v>0</v>
      </c>
      <c r="H73" s="210">
        <v>0</v>
      </c>
      <c r="I73" s="211">
        <v>0</v>
      </c>
      <c r="J73" s="211">
        <v>0</v>
      </c>
    </row>
    <row r="74" spans="1:10" x14ac:dyDescent="0.2">
      <c r="A74" s="207">
        <v>216</v>
      </c>
      <c r="B74" s="129" t="s">
        <v>10</v>
      </c>
      <c r="C74" s="129"/>
      <c r="D74" s="129"/>
      <c r="E74" s="211">
        <v>57154.28</v>
      </c>
      <c r="F74" s="209">
        <v>59400</v>
      </c>
      <c r="G74" s="211">
        <v>53300</v>
      </c>
      <c r="H74" s="210">
        <v>64400</v>
      </c>
      <c r="I74" s="211">
        <v>64400</v>
      </c>
      <c r="J74" s="211">
        <v>64400</v>
      </c>
    </row>
    <row r="75" spans="1:10" x14ac:dyDescent="0.2">
      <c r="A75" s="207">
        <v>218</v>
      </c>
      <c r="B75" s="129" t="s">
        <v>294</v>
      </c>
      <c r="C75" s="129"/>
      <c r="D75" s="129"/>
      <c r="E75" s="211">
        <v>0</v>
      </c>
      <c r="F75" s="209">
        <v>0</v>
      </c>
      <c r="G75" s="211">
        <v>0</v>
      </c>
      <c r="H75" s="210">
        <v>0</v>
      </c>
      <c r="I75" s="211">
        <v>0</v>
      </c>
      <c r="J75" s="211">
        <v>0</v>
      </c>
    </row>
    <row r="76" spans="1:10" ht="13.5" customHeight="1" x14ac:dyDescent="0.2">
      <c r="A76" s="156" t="s">
        <v>295</v>
      </c>
      <c r="B76" s="156"/>
      <c r="C76" s="156"/>
      <c r="D76" s="156"/>
      <c r="E76" s="157">
        <f t="shared" ref="E76:J76" si="25">SUM(E72:E75)</f>
        <v>453335.29000000004</v>
      </c>
      <c r="F76" s="157">
        <f t="shared" si="25"/>
        <v>462300</v>
      </c>
      <c r="G76" s="157">
        <f t="shared" si="25"/>
        <v>463300</v>
      </c>
      <c r="H76" s="157">
        <f t="shared" si="25"/>
        <v>533500</v>
      </c>
      <c r="I76" s="157">
        <f t="shared" si="25"/>
        <v>554800</v>
      </c>
      <c r="J76" s="157">
        <f t="shared" si="25"/>
        <v>561900</v>
      </c>
    </row>
    <row r="77" spans="1:10" ht="11.45" customHeight="1" x14ac:dyDescent="0.2">
      <c r="A77" s="156" t="s">
        <v>296</v>
      </c>
      <c r="B77" s="156"/>
      <c r="C77" s="156"/>
      <c r="D77" s="156"/>
      <c r="E77" s="156"/>
      <c r="F77" s="156"/>
      <c r="G77" s="156"/>
      <c r="H77" s="156"/>
      <c r="I77" s="156"/>
      <c r="J77" s="190"/>
    </row>
    <row r="78" spans="1:10" x14ac:dyDescent="0.2">
      <c r="A78" s="207">
        <v>220</v>
      </c>
      <c r="B78" s="129" t="s">
        <v>204</v>
      </c>
      <c r="C78" s="129"/>
      <c r="D78" s="129"/>
      <c r="E78" s="211">
        <v>864.6</v>
      </c>
      <c r="F78" s="211">
        <v>1000</v>
      </c>
      <c r="G78" s="211">
        <v>700</v>
      </c>
      <c r="H78" s="210">
        <v>1000</v>
      </c>
      <c r="I78" s="211">
        <v>1000</v>
      </c>
      <c r="J78" s="211">
        <v>1000</v>
      </c>
    </row>
    <row r="79" spans="1:10" x14ac:dyDescent="0.2">
      <c r="A79" s="207">
        <v>222</v>
      </c>
      <c r="B79" s="129" t="s">
        <v>205</v>
      </c>
      <c r="C79" s="129"/>
      <c r="D79" s="129"/>
      <c r="E79" s="211">
        <v>55956.68</v>
      </c>
      <c r="F79" s="211">
        <v>50000</v>
      </c>
      <c r="G79" s="211">
        <v>49800</v>
      </c>
      <c r="H79" s="210">
        <v>55000</v>
      </c>
      <c r="I79" s="211">
        <v>55000</v>
      </c>
      <c r="J79" s="211">
        <v>55000</v>
      </c>
    </row>
    <row r="80" spans="1:10" x14ac:dyDescent="0.2">
      <c r="A80" s="207">
        <v>226</v>
      </c>
      <c r="B80" s="129" t="s">
        <v>207</v>
      </c>
      <c r="C80" s="129"/>
      <c r="D80" s="129"/>
      <c r="E80" s="211">
        <v>97324.59</v>
      </c>
      <c r="F80" s="211">
        <v>90000</v>
      </c>
      <c r="G80" s="211">
        <v>86300</v>
      </c>
      <c r="H80" s="210">
        <v>90000</v>
      </c>
      <c r="I80" s="211">
        <v>90000</v>
      </c>
      <c r="J80" s="211">
        <v>90000</v>
      </c>
    </row>
    <row r="81" spans="1:10" x14ac:dyDescent="0.2">
      <c r="A81" s="207">
        <v>228</v>
      </c>
      <c r="B81" s="129" t="s">
        <v>208</v>
      </c>
      <c r="C81" s="129"/>
      <c r="D81" s="129"/>
      <c r="E81" s="211">
        <v>9982.2000000000007</v>
      </c>
      <c r="F81" s="211">
        <v>10000</v>
      </c>
      <c r="G81" s="211">
        <v>9700</v>
      </c>
      <c r="H81" s="210">
        <v>10000</v>
      </c>
      <c r="I81" s="211">
        <v>10000</v>
      </c>
      <c r="J81" s="211">
        <v>10000</v>
      </c>
    </row>
    <row r="82" spans="1:10" x14ac:dyDescent="0.2">
      <c r="A82" s="207">
        <v>229</v>
      </c>
      <c r="B82" s="129" t="s">
        <v>209</v>
      </c>
      <c r="C82" s="129"/>
      <c r="D82" s="129"/>
      <c r="E82" s="211">
        <v>19857.41</v>
      </c>
      <c r="F82" s="211">
        <v>3110000</v>
      </c>
      <c r="G82" s="211">
        <v>2315300</v>
      </c>
      <c r="H82" s="210">
        <f>20000+1206900</f>
        <v>1226900</v>
      </c>
      <c r="I82" s="211">
        <v>20000</v>
      </c>
      <c r="J82" s="211">
        <v>20000</v>
      </c>
    </row>
    <row r="83" spans="1:10" x14ac:dyDescent="0.2">
      <c r="A83" s="207">
        <v>232</v>
      </c>
      <c r="B83" s="129" t="s">
        <v>211</v>
      </c>
      <c r="C83" s="129"/>
      <c r="D83" s="129"/>
      <c r="E83" s="211">
        <v>3752.84</v>
      </c>
      <c r="F83" s="211">
        <v>187400</v>
      </c>
      <c r="G83" s="211">
        <v>186100</v>
      </c>
      <c r="H83" s="210">
        <v>187400</v>
      </c>
      <c r="I83" s="211">
        <v>187400</v>
      </c>
      <c r="J83" s="211">
        <v>187400</v>
      </c>
    </row>
    <row r="84" spans="1:10" x14ac:dyDescent="0.2">
      <c r="A84" s="207">
        <v>234</v>
      </c>
      <c r="B84" s="129" t="s">
        <v>212</v>
      </c>
      <c r="C84" s="129"/>
      <c r="D84" s="129"/>
      <c r="E84" s="211">
        <v>79450.5</v>
      </c>
      <c r="F84" s="211">
        <v>80000</v>
      </c>
      <c r="G84" s="211">
        <v>76800</v>
      </c>
      <c r="H84" s="210">
        <v>80000</v>
      </c>
      <c r="I84" s="211">
        <v>80000</v>
      </c>
      <c r="J84" s="211">
        <v>80000</v>
      </c>
    </row>
    <row r="85" spans="1:10" x14ac:dyDescent="0.2">
      <c r="A85" s="207">
        <v>236</v>
      </c>
      <c r="B85" s="129" t="s">
        <v>213</v>
      </c>
      <c r="C85" s="129"/>
      <c r="D85" s="129"/>
      <c r="E85" s="211">
        <v>39822.42</v>
      </c>
      <c r="F85" s="211">
        <v>1023400</v>
      </c>
      <c r="G85" s="211">
        <v>599400</v>
      </c>
      <c r="H85" s="210">
        <f>40000+688900+348600</f>
        <v>1077500</v>
      </c>
      <c r="I85" s="211">
        <v>40000</v>
      </c>
      <c r="J85" s="211">
        <v>40000</v>
      </c>
    </row>
    <row r="86" spans="1:10" x14ac:dyDescent="0.2">
      <c r="A86" s="207">
        <v>246</v>
      </c>
      <c r="B86" s="129" t="s">
        <v>218</v>
      </c>
      <c r="C86" s="129"/>
      <c r="D86" s="129"/>
      <c r="E86" s="211">
        <v>2475</v>
      </c>
      <c r="F86" s="211">
        <v>2500</v>
      </c>
      <c r="G86" s="211">
        <v>1700</v>
      </c>
      <c r="H86" s="210">
        <v>2500</v>
      </c>
      <c r="I86" s="211">
        <v>2500</v>
      </c>
      <c r="J86" s="211">
        <v>2500</v>
      </c>
    </row>
    <row r="87" spans="1:10" x14ac:dyDescent="0.2">
      <c r="A87" s="207">
        <v>265</v>
      </c>
      <c r="B87" s="129" t="s">
        <v>222</v>
      </c>
      <c r="C87" s="129"/>
      <c r="D87" s="129"/>
      <c r="E87" s="211">
        <v>0</v>
      </c>
      <c r="F87" s="211">
        <v>0</v>
      </c>
      <c r="G87" s="211">
        <v>827600</v>
      </c>
      <c r="H87" s="210">
        <v>0</v>
      </c>
      <c r="I87" s="211">
        <v>0</v>
      </c>
      <c r="J87" s="211">
        <v>0</v>
      </c>
    </row>
    <row r="88" spans="1:10" x14ac:dyDescent="0.2">
      <c r="A88" s="207">
        <v>266</v>
      </c>
      <c r="B88" s="129" t="s">
        <v>1794</v>
      </c>
      <c r="C88" s="129"/>
      <c r="D88" s="129"/>
      <c r="E88" s="211">
        <v>0</v>
      </c>
      <c r="F88" s="211">
        <v>34000</v>
      </c>
      <c r="G88" s="211">
        <v>15100</v>
      </c>
      <c r="H88" s="210">
        <v>0</v>
      </c>
      <c r="I88" s="211">
        <v>34000</v>
      </c>
      <c r="J88" s="211">
        <v>34000</v>
      </c>
    </row>
    <row r="89" spans="1:10" x14ac:dyDescent="0.2">
      <c r="A89" s="207">
        <v>275</v>
      </c>
      <c r="B89" s="129" t="s">
        <v>228</v>
      </c>
      <c r="C89" s="129"/>
      <c r="D89" s="129"/>
      <c r="E89" s="211">
        <v>12132.79</v>
      </c>
      <c r="F89" s="211">
        <v>10000</v>
      </c>
      <c r="G89" s="211">
        <v>10000</v>
      </c>
      <c r="H89" s="210">
        <v>15000</v>
      </c>
      <c r="I89" s="211">
        <v>15000</v>
      </c>
      <c r="J89" s="211">
        <v>15000</v>
      </c>
    </row>
    <row r="90" spans="1:10" x14ac:dyDescent="0.2">
      <c r="A90" s="207">
        <v>281</v>
      </c>
      <c r="B90" s="129" t="s">
        <v>1472</v>
      </c>
      <c r="C90" s="129"/>
      <c r="D90" s="129"/>
      <c r="E90" s="211">
        <v>8675.3700000000008</v>
      </c>
      <c r="F90" s="211">
        <v>10000</v>
      </c>
      <c r="G90" s="211">
        <v>7000</v>
      </c>
      <c r="H90" s="210">
        <v>10000</v>
      </c>
      <c r="I90" s="211">
        <v>10000</v>
      </c>
      <c r="J90" s="211">
        <v>10000</v>
      </c>
    </row>
    <row r="91" spans="1:10" ht="13.5" customHeight="1" x14ac:dyDescent="0.2">
      <c r="A91" s="156" t="s">
        <v>298</v>
      </c>
      <c r="B91" s="156"/>
      <c r="C91" s="156"/>
      <c r="D91" s="156"/>
      <c r="E91" s="157">
        <f t="shared" ref="E91:J91" si="26">SUM(E78:E90)</f>
        <v>330294.39999999997</v>
      </c>
      <c r="F91" s="264">
        <f t="shared" si="26"/>
        <v>4608300</v>
      </c>
      <c r="G91" s="157">
        <f t="shared" si="26"/>
        <v>4185500</v>
      </c>
      <c r="H91" s="157">
        <f t="shared" si="26"/>
        <v>2755300</v>
      </c>
      <c r="I91" s="157">
        <f t="shared" si="26"/>
        <v>544900</v>
      </c>
      <c r="J91" s="157">
        <f t="shared" si="26"/>
        <v>544900</v>
      </c>
    </row>
    <row r="92" spans="1:10" ht="13.5" customHeight="1" x14ac:dyDescent="0.2">
      <c r="A92" s="159" t="s">
        <v>299</v>
      </c>
      <c r="B92" s="159"/>
      <c r="C92" s="159"/>
      <c r="D92" s="159"/>
      <c r="E92" s="160">
        <f t="shared" ref="E92:J92" si="27">SUM(E76,E91)</f>
        <v>783629.69</v>
      </c>
      <c r="F92" s="160">
        <f t="shared" si="27"/>
        <v>5070600</v>
      </c>
      <c r="G92" s="160">
        <f t="shared" si="27"/>
        <v>4648800</v>
      </c>
      <c r="H92" s="160">
        <f t="shared" si="27"/>
        <v>3288800</v>
      </c>
      <c r="I92" s="160">
        <f t="shared" si="27"/>
        <v>1099700</v>
      </c>
      <c r="J92" s="160">
        <f t="shared" si="27"/>
        <v>1106800</v>
      </c>
    </row>
    <row r="93" spans="1:10" ht="10.15" customHeight="1" x14ac:dyDescent="0.2">
      <c r="A93" s="290"/>
      <c r="B93" s="290"/>
      <c r="C93" s="290"/>
      <c r="D93" s="290"/>
      <c r="E93" s="290"/>
      <c r="F93" s="290"/>
      <c r="G93" s="290"/>
      <c r="H93" s="290"/>
      <c r="I93" s="290"/>
      <c r="J93" s="290"/>
    </row>
    <row r="94" spans="1:10" x14ac:dyDescent="0.2">
      <c r="A94" s="162" t="s">
        <v>15</v>
      </c>
      <c r="B94" s="162"/>
      <c r="C94" s="162"/>
      <c r="D94" s="162"/>
      <c r="E94" s="162"/>
      <c r="F94" s="162"/>
      <c r="G94" s="162"/>
      <c r="H94" s="162"/>
      <c r="I94" s="162"/>
      <c r="J94" s="162"/>
    </row>
    <row r="95" spans="1:10" ht="17.25" customHeight="1" x14ac:dyDescent="0.2">
      <c r="A95" s="131" t="s">
        <v>242</v>
      </c>
      <c r="B95" s="131"/>
      <c r="C95" s="131"/>
      <c r="D95" s="131"/>
      <c r="E95" s="128" t="str">
        <f t="shared" ref="E95:J95" si="28">E24</f>
        <v>Actuals           2014-2015</v>
      </c>
      <c r="F95" s="128" t="str">
        <f t="shared" si="28"/>
        <v>Approved Estimates          2015-2016</v>
      </c>
      <c r="G95" s="128" t="str">
        <f t="shared" si="28"/>
        <v>Revised Estimates                 2015-2016</v>
      </c>
      <c r="H95" s="128" t="str">
        <f t="shared" si="28"/>
        <v>Budget Estimates      2016-2017</v>
      </c>
      <c r="I95" s="128" t="str">
        <f t="shared" si="28"/>
        <v>Forward Estimates     2017-2018</v>
      </c>
      <c r="J95" s="128" t="str">
        <f t="shared" si="28"/>
        <v>Forward Estimates     2018-2019</v>
      </c>
    </row>
    <row r="96" spans="1:10" ht="16.899999999999999" customHeight="1" x14ac:dyDescent="0.2">
      <c r="A96" s="130" t="s">
        <v>243</v>
      </c>
      <c r="B96" s="130" t="s">
        <v>244</v>
      </c>
      <c r="C96" s="131" t="s">
        <v>245</v>
      </c>
      <c r="D96" s="131"/>
      <c r="E96" s="101"/>
      <c r="F96" s="101"/>
      <c r="G96" s="101"/>
      <c r="H96" s="101"/>
      <c r="I96" s="101"/>
      <c r="J96" s="101"/>
    </row>
    <row r="97" spans="1:10" x14ac:dyDescent="0.2">
      <c r="A97" s="335" t="s">
        <v>1795</v>
      </c>
      <c r="B97" s="449" t="s">
        <v>1618</v>
      </c>
      <c r="C97" s="505" t="s">
        <v>1796</v>
      </c>
      <c r="D97" s="506"/>
      <c r="E97" s="379">
        <v>0</v>
      </c>
      <c r="F97" s="209">
        <v>0</v>
      </c>
      <c r="G97" s="158">
        <v>21300</v>
      </c>
      <c r="H97" s="210">
        <v>22000</v>
      </c>
      <c r="I97" s="158">
        <v>0</v>
      </c>
      <c r="J97" s="135"/>
    </row>
    <row r="98" spans="1:10" ht="14.25" customHeight="1" x14ac:dyDescent="0.2">
      <c r="A98" s="335" t="s">
        <v>1797</v>
      </c>
      <c r="B98" s="449" t="s">
        <v>633</v>
      </c>
      <c r="C98" s="505" t="s">
        <v>1798</v>
      </c>
      <c r="D98" s="506"/>
      <c r="E98" s="379">
        <v>0</v>
      </c>
      <c r="F98" s="209">
        <v>0</v>
      </c>
      <c r="G98" s="158"/>
      <c r="H98" s="136">
        <v>371200</v>
      </c>
      <c r="I98" s="158">
        <v>0</v>
      </c>
      <c r="J98" s="135">
        <v>0</v>
      </c>
    </row>
    <row r="99" spans="1:10" s="431" customFormat="1" ht="13.5" customHeight="1" x14ac:dyDescent="0.25">
      <c r="A99" s="137" t="s">
        <v>15</v>
      </c>
      <c r="B99" s="137"/>
      <c r="C99" s="507"/>
      <c r="D99" s="507"/>
      <c r="E99" s="138">
        <f>SUM(E97:E98)</f>
        <v>0</v>
      </c>
      <c r="F99" s="138">
        <f t="shared" ref="F99:J99" si="29">SUM(F97:F98)</f>
        <v>0</v>
      </c>
      <c r="G99" s="138">
        <f t="shared" si="29"/>
        <v>21300</v>
      </c>
      <c r="H99" s="138">
        <f t="shared" si="29"/>
        <v>393200</v>
      </c>
      <c r="I99" s="138">
        <f t="shared" si="29"/>
        <v>0</v>
      </c>
      <c r="J99" s="138">
        <f t="shared" si="29"/>
        <v>0</v>
      </c>
    </row>
    <row r="100" spans="1:10" ht="9.75" customHeight="1" x14ac:dyDescent="0.2">
      <c r="A100" s="290"/>
      <c r="B100" s="290"/>
      <c r="C100" s="290"/>
      <c r="D100" s="290"/>
      <c r="E100" s="290"/>
      <c r="F100" s="290"/>
      <c r="G100" s="290"/>
      <c r="H100" s="290"/>
      <c r="I100" s="290"/>
      <c r="J100" s="290"/>
    </row>
    <row r="101" spans="1:10" ht="12.75" customHeight="1" x14ac:dyDescent="0.2">
      <c r="A101" s="161" t="s">
        <v>288</v>
      </c>
      <c r="B101" s="161"/>
      <c r="C101" s="161"/>
      <c r="D101" s="161"/>
      <c r="E101" s="161"/>
      <c r="F101" s="202"/>
      <c r="G101" s="202"/>
      <c r="H101" s="202"/>
      <c r="I101" s="202"/>
      <c r="J101" s="202"/>
    </row>
    <row r="102" spans="1:10" x14ac:dyDescent="0.2">
      <c r="A102" s="131" t="s">
        <v>300</v>
      </c>
      <c r="B102" s="131"/>
      <c r="C102" s="131"/>
      <c r="D102" s="132" t="s">
        <v>301</v>
      </c>
      <c r="E102" s="132" t="s">
        <v>302</v>
      </c>
      <c r="F102" s="131" t="s">
        <v>300</v>
      </c>
      <c r="G102" s="131"/>
      <c r="H102" s="131"/>
      <c r="I102" s="132" t="s">
        <v>301</v>
      </c>
      <c r="J102" s="132" t="s">
        <v>302</v>
      </c>
    </row>
    <row r="103" spans="1:10" x14ac:dyDescent="0.2">
      <c r="A103" s="134" t="str">
        <f>Establishment!D592</f>
        <v>Permanent Secretary</v>
      </c>
      <c r="B103" s="134"/>
      <c r="C103" s="134"/>
      <c r="D103" s="133" t="str">
        <f>Establishment!E592</f>
        <v>R5</v>
      </c>
      <c r="E103" s="133">
        <f>Establishment!C592</f>
        <v>1</v>
      </c>
      <c r="F103" s="134" t="str">
        <f>Establishment!D595</f>
        <v>Health Information Officer</v>
      </c>
      <c r="G103" s="134"/>
      <c r="H103" s="134"/>
      <c r="I103" s="133" t="str">
        <f>Establishment!E595</f>
        <v>R28-22</v>
      </c>
      <c r="J103" s="133">
        <f>Establishment!C595</f>
        <v>1</v>
      </c>
    </row>
    <row r="104" spans="1:10" x14ac:dyDescent="0.2">
      <c r="A104" s="134" t="str">
        <f>Establishment!D593</f>
        <v>Health Planner/Epidemiologist</v>
      </c>
      <c r="B104" s="134"/>
      <c r="C104" s="134"/>
      <c r="D104" s="133" t="str">
        <f>Establishment!E593</f>
        <v>R14-10</v>
      </c>
      <c r="E104" s="133">
        <f>Establishment!C593</f>
        <v>1</v>
      </c>
      <c r="F104" s="134" t="str">
        <f>Establishment!D596</f>
        <v>Clerical Officer (Snr)</v>
      </c>
      <c r="G104" s="134"/>
      <c r="H104" s="134"/>
      <c r="I104" s="133" t="str">
        <f>Establishment!E596</f>
        <v>R33-29</v>
      </c>
      <c r="J104" s="133">
        <f>Establishment!C596</f>
        <v>2</v>
      </c>
    </row>
    <row r="105" spans="1:10" x14ac:dyDescent="0.2">
      <c r="A105" s="134" t="str">
        <f>Establishment!D594</f>
        <v>Assistant Secretary</v>
      </c>
      <c r="B105" s="134"/>
      <c r="C105" s="134"/>
      <c r="D105" s="133" t="str">
        <f>Establishment!E594</f>
        <v>R22-16</v>
      </c>
      <c r="E105" s="133">
        <f>Establishment!C594</f>
        <v>2</v>
      </c>
      <c r="F105" s="134" t="str">
        <f>Establishment!D597</f>
        <v>Clerical Officer</v>
      </c>
      <c r="G105" s="134"/>
      <c r="H105" s="134"/>
      <c r="I105" s="133" t="str">
        <f>Establishment!E597</f>
        <v>R46-34</v>
      </c>
      <c r="J105" s="133">
        <f>Establishment!C597</f>
        <v>1</v>
      </c>
    </row>
    <row r="106" spans="1:10" x14ac:dyDescent="0.2">
      <c r="A106" s="203" t="s">
        <v>303</v>
      </c>
      <c r="B106" s="203"/>
      <c r="C106" s="203"/>
      <c r="D106" s="203"/>
      <c r="E106" s="203"/>
      <c r="F106" s="203"/>
      <c r="G106" s="203"/>
      <c r="H106" s="203"/>
      <c r="I106" s="203"/>
      <c r="J106" s="204">
        <f>SUM(E103:E105,J103:J105)</f>
        <v>8</v>
      </c>
    </row>
    <row r="107" spans="1:10" x14ac:dyDescent="0.2">
      <c r="A107" s="129"/>
      <c r="B107" s="129"/>
      <c r="C107" s="129"/>
      <c r="D107" s="129"/>
      <c r="E107" s="129"/>
      <c r="F107" s="179"/>
      <c r="G107" s="179"/>
      <c r="H107" s="179"/>
      <c r="I107" s="179"/>
      <c r="J107" s="179"/>
    </row>
    <row r="108" spans="1:10" ht="15" customHeight="1" x14ac:dyDescent="0.2">
      <c r="A108" s="180" t="s">
        <v>304</v>
      </c>
      <c r="B108" s="180"/>
      <c r="C108" s="180"/>
      <c r="D108" s="180"/>
      <c r="E108" s="180"/>
      <c r="F108" s="180"/>
      <c r="G108" s="180"/>
      <c r="H108" s="180"/>
      <c r="I108" s="180"/>
      <c r="J108" s="180"/>
    </row>
    <row r="109" spans="1:10" x14ac:dyDescent="0.2">
      <c r="A109" s="181" t="s">
        <v>305</v>
      </c>
      <c r="B109" s="181"/>
      <c r="C109" s="181"/>
      <c r="D109" s="181"/>
      <c r="E109" s="181"/>
      <c r="F109" s="181"/>
      <c r="G109" s="181"/>
      <c r="H109" s="181"/>
      <c r="I109" s="181"/>
      <c r="J109" s="181"/>
    </row>
    <row r="110" spans="1:10" ht="24" customHeight="1" x14ac:dyDescent="0.2">
      <c r="A110" s="129" t="s">
        <v>1799</v>
      </c>
      <c r="B110" s="129"/>
      <c r="C110" s="129"/>
      <c r="D110" s="129"/>
      <c r="E110" s="129"/>
      <c r="F110" s="129"/>
      <c r="G110" s="129"/>
      <c r="H110" s="129"/>
      <c r="I110" s="129"/>
      <c r="J110" s="129"/>
    </row>
    <row r="111" spans="1:10" x14ac:dyDescent="0.2">
      <c r="A111" s="129" t="s">
        <v>1800</v>
      </c>
      <c r="B111" s="129"/>
      <c r="C111" s="129"/>
      <c r="D111" s="129"/>
      <c r="E111" s="129"/>
      <c r="F111" s="129"/>
      <c r="G111" s="129"/>
      <c r="H111" s="129"/>
      <c r="I111" s="129"/>
      <c r="J111" s="129"/>
    </row>
    <row r="112" spans="1:10" ht="24.75" customHeight="1" x14ac:dyDescent="0.2">
      <c r="A112" s="129" t="s">
        <v>1801</v>
      </c>
      <c r="B112" s="129"/>
      <c r="C112" s="129"/>
      <c r="D112" s="129"/>
      <c r="E112" s="129"/>
      <c r="F112" s="129"/>
      <c r="G112" s="129"/>
      <c r="H112" s="129"/>
      <c r="I112" s="129"/>
      <c r="J112" s="129"/>
    </row>
    <row r="113" spans="1:10" ht="24" customHeight="1" x14ac:dyDescent="0.2">
      <c r="A113" s="129" t="s">
        <v>1802</v>
      </c>
      <c r="B113" s="129"/>
      <c r="C113" s="129"/>
      <c r="D113" s="129"/>
      <c r="E113" s="129"/>
      <c r="F113" s="129"/>
      <c r="G113" s="129"/>
      <c r="H113" s="129"/>
      <c r="I113" s="129"/>
      <c r="J113" s="129"/>
    </row>
    <row r="114" spans="1:10" ht="24" customHeight="1" x14ac:dyDescent="0.2">
      <c r="A114" s="129" t="s">
        <v>1803</v>
      </c>
      <c r="B114" s="129"/>
      <c r="C114" s="129"/>
      <c r="D114" s="129"/>
      <c r="E114" s="129"/>
      <c r="F114" s="129"/>
      <c r="G114" s="129"/>
      <c r="H114" s="129"/>
      <c r="I114" s="129"/>
      <c r="J114" s="129"/>
    </row>
    <row r="115" spans="1:10" x14ac:dyDescent="0.2">
      <c r="A115" s="129"/>
      <c r="B115" s="129"/>
      <c r="C115" s="129"/>
      <c r="D115" s="129"/>
      <c r="E115" s="129"/>
      <c r="F115" s="129"/>
      <c r="G115" s="129"/>
      <c r="H115" s="129"/>
      <c r="I115" s="129"/>
      <c r="J115" s="129"/>
    </row>
    <row r="116" spans="1:10" x14ac:dyDescent="0.2">
      <c r="A116" s="183" t="s">
        <v>415</v>
      </c>
      <c r="B116" s="183"/>
      <c r="C116" s="183"/>
      <c r="D116" s="183"/>
      <c r="E116" s="183"/>
      <c r="F116" s="183"/>
      <c r="G116" s="183"/>
      <c r="H116" s="183"/>
      <c r="I116" s="183"/>
      <c r="J116" s="183"/>
    </row>
    <row r="117" spans="1:10" x14ac:dyDescent="0.2">
      <c r="A117" s="129"/>
      <c r="B117" s="129"/>
      <c r="C117" s="129"/>
      <c r="D117" s="129"/>
      <c r="E117" s="129"/>
      <c r="F117" s="129"/>
      <c r="G117" s="129"/>
      <c r="H117" s="129"/>
      <c r="I117" s="129"/>
      <c r="J117" s="129"/>
    </row>
    <row r="118" spans="1:10" x14ac:dyDescent="0.2">
      <c r="A118" s="129"/>
      <c r="B118" s="129"/>
      <c r="C118" s="129"/>
      <c r="D118" s="129"/>
      <c r="E118" s="129"/>
      <c r="F118" s="129"/>
      <c r="G118" s="129"/>
      <c r="H118" s="129"/>
      <c r="I118" s="129"/>
      <c r="J118" s="129"/>
    </row>
    <row r="119" spans="1:10" x14ac:dyDescent="0.2">
      <c r="A119" s="129"/>
      <c r="B119" s="129"/>
      <c r="C119" s="129"/>
      <c r="D119" s="129"/>
      <c r="E119" s="129"/>
      <c r="F119" s="129"/>
      <c r="G119" s="129"/>
      <c r="H119" s="129"/>
      <c r="I119" s="129"/>
      <c r="J119" s="129"/>
    </row>
    <row r="120" spans="1:10" ht="22.5" x14ac:dyDescent="0.2">
      <c r="A120" s="180" t="s">
        <v>315</v>
      </c>
      <c r="B120" s="180"/>
      <c r="C120" s="180"/>
      <c r="D120" s="180"/>
      <c r="E120" s="180"/>
      <c r="F120" s="184" t="s">
        <v>2995</v>
      </c>
      <c r="G120" s="184" t="s">
        <v>2996</v>
      </c>
      <c r="H120" s="184" t="s">
        <v>2997</v>
      </c>
      <c r="I120" s="184" t="s">
        <v>2998</v>
      </c>
      <c r="J120" s="184" t="s">
        <v>2999</v>
      </c>
    </row>
    <row r="121" spans="1:10" x14ac:dyDescent="0.2">
      <c r="A121" s="180" t="s">
        <v>316</v>
      </c>
      <c r="B121" s="180"/>
      <c r="C121" s="180"/>
      <c r="D121" s="180"/>
      <c r="E121" s="180"/>
      <c r="F121" s="180"/>
      <c r="G121" s="180"/>
      <c r="H121" s="180"/>
      <c r="I121" s="180"/>
      <c r="J121" s="180"/>
    </row>
    <row r="122" spans="1:10" x14ac:dyDescent="0.2">
      <c r="A122" s="498" t="s">
        <v>1804</v>
      </c>
      <c r="B122" s="498"/>
      <c r="C122" s="498"/>
      <c r="D122" s="498"/>
      <c r="E122" s="498"/>
      <c r="F122" s="508">
        <v>0.68</v>
      </c>
      <c r="G122" s="509">
        <v>0.75</v>
      </c>
      <c r="H122" s="509">
        <v>0.8</v>
      </c>
      <c r="I122" s="509">
        <v>0.8</v>
      </c>
      <c r="J122" s="509">
        <v>0.8</v>
      </c>
    </row>
    <row r="123" spans="1:10" ht="67.5" x14ac:dyDescent="0.2">
      <c r="A123" s="498" t="s">
        <v>1805</v>
      </c>
      <c r="B123" s="498"/>
      <c r="C123" s="498"/>
      <c r="D123" s="498"/>
      <c r="E123" s="498"/>
      <c r="F123" s="508"/>
      <c r="G123" s="510" t="s">
        <v>1806</v>
      </c>
      <c r="H123" s="509" t="s">
        <v>1807</v>
      </c>
      <c r="I123" s="509" t="s">
        <v>1807</v>
      </c>
      <c r="J123" s="509" t="s">
        <v>1807</v>
      </c>
    </row>
    <row r="124" spans="1:10" x14ac:dyDescent="0.2">
      <c r="A124" s="498" t="s">
        <v>883</v>
      </c>
      <c r="B124" s="498"/>
      <c r="C124" s="498"/>
      <c r="D124" s="498"/>
      <c r="E124" s="498"/>
      <c r="F124" s="508">
        <v>13</v>
      </c>
      <c r="G124" s="509">
        <v>6</v>
      </c>
      <c r="H124" s="509">
        <v>6</v>
      </c>
      <c r="I124" s="509">
        <v>5</v>
      </c>
      <c r="J124" s="509">
        <v>5</v>
      </c>
    </row>
    <row r="125" spans="1:10" ht="45" x14ac:dyDescent="0.2">
      <c r="A125" s="498" t="s">
        <v>1808</v>
      </c>
      <c r="B125" s="498"/>
      <c r="C125" s="498"/>
      <c r="D125" s="498"/>
      <c r="E125" s="498"/>
      <c r="F125" s="508" t="s">
        <v>1809</v>
      </c>
      <c r="G125" s="509" t="s">
        <v>1810</v>
      </c>
      <c r="H125" s="509" t="s">
        <v>651</v>
      </c>
      <c r="I125" s="509" t="s">
        <v>651</v>
      </c>
      <c r="J125" s="509" t="s">
        <v>651</v>
      </c>
    </row>
    <row r="126" spans="1:10" ht="22.5" x14ac:dyDescent="0.2">
      <c r="A126" s="498" t="s">
        <v>1811</v>
      </c>
      <c r="B126" s="498"/>
      <c r="C126" s="498"/>
      <c r="D126" s="498"/>
      <c r="E126" s="498"/>
      <c r="F126" s="508" t="s">
        <v>1812</v>
      </c>
      <c r="G126" s="509" t="s">
        <v>651</v>
      </c>
      <c r="H126" s="509" t="s">
        <v>651</v>
      </c>
      <c r="I126" s="509" t="s">
        <v>651</v>
      </c>
      <c r="J126" s="509" t="s">
        <v>651</v>
      </c>
    </row>
    <row r="127" spans="1:10" ht="22.5" x14ac:dyDescent="0.2">
      <c r="A127" s="498" t="s">
        <v>1813</v>
      </c>
      <c r="B127" s="498"/>
      <c r="C127" s="498"/>
      <c r="D127" s="498"/>
      <c r="E127" s="498"/>
      <c r="F127" s="508">
        <v>23</v>
      </c>
      <c r="G127" s="509" t="s">
        <v>1814</v>
      </c>
      <c r="H127" s="509" t="s">
        <v>1814</v>
      </c>
      <c r="I127" s="509" t="s">
        <v>1814</v>
      </c>
      <c r="J127" s="509" t="s">
        <v>1814</v>
      </c>
    </row>
    <row r="128" spans="1:10" x14ac:dyDescent="0.2">
      <c r="A128" s="188"/>
      <c r="B128" s="188"/>
      <c r="C128" s="188"/>
      <c r="D128" s="188"/>
      <c r="E128" s="188"/>
      <c r="F128" s="273"/>
      <c r="G128" s="190"/>
      <c r="H128" s="190"/>
      <c r="I128" s="190"/>
      <c r="J128" s="190"/>
    </row>
    <row r="129" spans="1:10" ht="21.75" customHeight="1" x14ac:dyDescent="0.2">
      <c r="A129" s="180" t="s">
        <v>324</v>
      </c>
      <c r="B129" s="180"/>
      <c r="C129" s="180"/>
      <c r="D129" s="180"/>
      <c r="E129" s="180"/>
      <c r="F129" s="180"/>
      <c r="G129" s="180"/>
      <c r="H129" s="180"/>
      <c r="I129" s="180"/>
      <c r="J129" s="180"/>
    </row>
    <row r="130" spans="1:10" x14ac:dyDescent="0.2">
      <c r="A130" s="269" t="s">
        <v>1815</v>
      </c>
      <c r="B130" s="269"/>
      <c r="C130" s="269"/>
      <c r="D130" s="269"/>
      <c r="E130" s="269"/>
      <c r="F130" s="511">
        <v>1.0973999999999999</v>
      </c>
      <c r="G130" s="441" t="s">
        <v>1816</v>
      </c>
      <c r="H130" s="441">
        <v>1</v>
      </c>
      <c r="I130" s="441">
        <v>1</v>
      </c>
      <c r="J130" s="441">
        <v>1</v>
      </c>
    </row>
    <row r="131" spans="1:10" ht="172.5" customHeight="1" x14ac:dyDescent="0.2">
      <c r="A131" s="493" t="s">
        <v>1817</v>
      </c>
      <c r="B131" s="493"/>
      <c r="C131" s="493"/>
      <c r="D131" s="493"/>
      <c r="E131" s="493"/>
      <c r="F131" s="512" t="s">
        <v>1818</v>
      </c>
      <c r="G131" s="261" t="s">
        <v>1819</v>
      </c>
      <c r="H131" s="513" t="s">
        <v>1820</v>
      </c>
      <c r="I131" s="261"/>
      <c r="J131" s="261"/>
    </row>
    <row r="132" spans="1:10" ht="45" x14ac:dyDescent="0.2">
      <c r="A132" s="269" t="s">
        <v>1821</v>
      </c>
      <c r="B132" s="269"/>
      <c r="C132" s="269"/>
      <c r="D132" s="269"/>
      <c r="E132" s="269"/>
      <c r="F132" s="286" t="s">
        <v>1822</v>
      </c>
      <c r="G132" s="513" t="s">
        <v>1823</v>
      </c>
      <c r="H132" s="513"/>
      <c r="I132" s="513"/>
      <c r="J132" s="513"/>
    </row>
    <row r="133" spans="1:10" x14ac:dyDescent="0.2">
      <c r="A133" s="129"/>
      <c r="B133" s="129"/>
      <c r="C133" s="129"/>
      <c r="D133" s="129"/>
      <c r="E133" s="129"/>
      <c r="F133" s="129"/>
      <c r="G133" s="129"/>
      <c r="H133" s="129"/>
      <c r="I133" s="129"/>
      <c r="J133" s="129"/>
    </row>
    <row r="134" spans="1:10" x14ac:dyDescent="0.2">
      <c r="A134" s="150" t="s">
        <v>1824</v>
      </c>
      <c r="B134" s="150"/>
      <c r="C134" s="150"/>
      <c r="D134" s="150"/>
      <c r="E134" s="150"/>
      <c r="F134" s="150"/>
      <c r="G134" s="150"/>
      <c r="H134" s="150"/>
      <c r="I134" s="150"/>
      <c r="J134" s="150"/>
    </row>
    <row r="135" spans="1:10" ht="15" customHeight="1" x14ac:dyDescent="0.2">
      <c r="A135" s="389" t="s">
        <v>291</v>
      </c>
      <c r="B135" s="389"/>
      <c r="C135" s="389"/>
      <c r="D135" s="389"/>
      <c r="E135" s="389"/>
      <c r="F135" s="389"/>
      <c r="G135" s="389"/>
      <c r="H135" s="389"/>
      <c r="I135" s="389"/>
      <c r="J135" s="389"/>
    </row>
    <row r="136" spans="1:10" ht="20.25" customHeight="1" x14ac:dyDescent="0.2">
      <c r="A136" s="129" t="s">
        <v>1825</v>
      </c>
      <c r="B136" s="129"/>
      <c r="C136" s="129"/>
      <c r="D136" s="129"/>
      <c r="E136" s="129"/>
      <c r="F136" s="129"/>
      <c r="G136" s="129"/>
      <c r="H136" s="129"/>
      <c r="I136" s="129"/>
      <c r="J136" s="129"/>
    </row>
    <row r="137" spans="1:10" hidden="1" x14ac:dyDescent="0.2">
      <c r="A137" s="128" t="s">
        <v>293</v>
      </c>
      <c r="B137" s="128"/>
      <c r="C137" s="128"/>
      <c r="D137" s="128"/>
      <c r="E137" s="128"/>
      <c r="F137" s="128"/>
      <c r="G137" s="128"/>
      <c r="H137" s="128"/>
      <c r="I137" s="128"/>
      <c r="J137" s="128"/>
    </row>
    <row r="138" spans="1:10" ht="33.75" hidden="1" customHeight="1" x14ac:dyDescent="0.2">
      <c r="A138" s="152" t="s">
        <v>243</v>
      </c>
      <c r="B138" s="151" t="s">
        <v>242</v>
      </c>
      <c r="C138" s="151"/>
      <c r="D138" s="151"/>
      <c r="E138" s="132" t="s">
        <v>793</v>
      </c>
      <c r="F138" s="132" t="s">
        <v>794</v>
      </c>
      <c r="G138" s="132" t="s">
        <v>795</v>
      </c>
      <c r="H138" s="132" t="s">
        <v>796</v>
      </c>
      <c r="I138" s="132" t="s">
        <v>797</v>
      </c>
      <c r="J138" s="132" t="s">
        <v>798</v>
      </c>
    </row>
    <row r="139" spans="1:10" ht="15" hidden="1" customHeight="1" x14ac:dyDescent="0.2">
      <c r="A139" s="133"/>
      <c r="B139" s="134"/>
      <c r="C139" s="134"/>
      <c r="D139" s="134"/>
      <c r="E139" s="135"/>
      <c r="F139" s="262"/>
      <c r="G139" s="135"/>
      <c r="H139" s="136"/>
      <c r="I139" s="158"/>
      <c r="J139" s="158"/>
    </row>
    <row r="140" spans="1:10" hidden="1" x14ac:dyDescent="0.2">
      <c r="A140" s="137" t="s">
        <v>1788</v>
      </c>
      <c r="B140" s="137"/>
      <c r="C140" s="137"/>
      <c r="D140" s="137"/>
      <c r="E140" s="138">
        <f t="shared" ref="E140:J140" si="30">SUM(E139:E139)</f>
        <v>0</v>
      </c>
      <c r="F140" s="138">
        <f t="shared" si="30"/>
        <v>0</v>
      </c>
      <c r="G140" s="138">
        <f t="shared" si="30"/>
        <v>0</v>
      </c>
      <c r="H140" s="138">
        <f t="shared" si="30"/>
        <v>0</v>
      </c>
      <c r="I140" s="138">
        <f t="shared" si="30"/>
        <v>0</v>
      </c>
      <c r="J140" s="138">
        <f t="shared" si="30"/>
        <v>0</v>
      </c>
    </row>
    <row r="141" spans="1:10" ht="11.25" customHeight="1" x14ac:dyDescent="0.2">
      <c r="A141" s="129"/>
      <c r="B141" s="129"/>
      <c r="C141" s="129"/>
      <c r="D141" s="129"/>
      <c r="E141" s="129"/>
      <c r="F141" s="129"/>
      <c r="G141" s="129"/>
      <c r="H141" s="129"/>
      <c r="I141" s="129"/>
      <c r="J141" s="129"/>
    </row>
    <row r="142" spans="1:10" ht="15" customHeight="1" x14ac:dyDescent="0.2">
      <c r="A142" s="128" t="s">
        <v>284</v>
      </c>
      <c r="B142" s="128"/>
      <c r="C142" s="128"/>
      <c r="D142" s="128"/>
      <c r="E142" s="128"/>
      <c r="F142" s="128"/>
      <c r="G142" s="128"/>
      <c r="H142" s="128"/>
      <c r="I142" s="128"/>
      <c r="J142" s="128"/>
    </row>
    <row r="143" spans="1:10" ht="33.75" x14ac:dyDescent="0.2">
      <c r="A143" s="152" t="s">
        <v>243</v>
      </c>
      <c r="B143" s="151" t="s">
        <v>242</v>
      </c>
      <c r="C143" s="151"/>
      <c r="D143" s="151"/>
      <c r="E143" s="132" t="str">
        <f t="shared" ref="E143:J143" si="31">E24</f>
        <v>Actuals           2014-2015</v>
      </c>
      <c r="F143" s="132" t="str">
        <f t="shared" si="31"/>
        <v>Approved Estimates          2015-2016</v>
      </c>
      <c r="G143" s="132" t="str">
        <f t="shared" si="31"/>
        <v>Revised Estimates                 2015-2016</v>
      </c>
      <c r="H143" s="132" t="str">
        <f t="shared" si="31"/>
        <v>Budget Estimates      2016-2017</v>
      </c>
      <c r="I143" s="132" t="str">
        <f t="shared" si="31"/>
        <v>Forward Estimates     2017-2018</v>
      </c>
      <c r="J143" s="132" t="str">
        <f t="shared" si="31"/>
        <v>Forward Estimates     2018-2019</v>
      </c>
    </row>
    <row r="144" spans="1:10" ht="15" customHeight="1" x14ac:dyDescent="0.2">
      <c r="A144" s="151" t="s">
        <v>7</v>
      </c>
      <c r="B144" s="151"/>
      <c r="C144" s="151"/>
      <c r="D144" s="151"/>
      <c r="E144" s="151"/>
      <c r="F144" s="151"/>
      <c r="G144" s="151"/>
      <c r="H144" s="151"/>
      <c r="I144" s="151"/>
      <c r="J144" s="190"/>
    </row>
    <row r="145" spans="1:10" x14ac:dyDescent="0.2">
      <c r="A145" s="207">
        <v>210</v>
      </c>
      <c r="B145" s="129" t="s">
        <v>7</v>
      </c>
      <c r="C145" s="129"/>
      <c r="D145" s="129"/>
      <c r="E145" s="211">
        <v>1114970.25</v>
      </c>
      <c r="F145" s="209">
        <v>1288000</v>
      </c>
      <c r="G145" s="211">
        <v>1113400</v>
      </c>
      <c r="H145" s="210">
        <v>1449500</v>
      </c>
      <c r="I145" s="211">
        <v>1540000</v>
      </c>
      <c r="J145" s="211">
        <v>1565400</v>
      </c>
    </row>
    <row r="146" spans="1:10" x14ac:dyDescent="0.2">
      <c r="A146" s="207">
        <v>212</v>
      </c>
      <c r="B146" s="129" t="s">
        <v>9</v>
      </c>
      <c r="C146" s="129"/>
      <c r="D146" s="129"/>
      <c r="E146" s="211">
        <v>102521.94</v>
      </c>
      <c r="F146" s="209">
        <v>109400</v>
      </c>
      <c r="G146" s="211">
        <v>105300</v>
      </c>
      <c r="H146" s="210">
        <v>37300</v>
      </c>
      <c r="I146" s="211">
        <v>37300</v>
      </c>
      <c r="J146" s="211">
        <v>37300</v>
      </c>
    </row>
    <row r="147" spans="1:10" x14ac:dyDescent="0.2">
      <c r="A147" s="207">
        <v>216</v>
      </c>
      <c r="B147" s="129" t="s">
        <v>10</v>
      </c>
      <c r="C147" s="129"/>
      <c r="D147" s="129"/>
      <c r="E147" s="211">
        <v>383830.53</v>
      </c>
      <c r="F147" s="209">
        <v>417100</v>
      </c>
      <c r="G147" s="211">
        <v>392600</v>
      </c>
      <c r="H147" s="210">
        <v>451400</v>
      </c>
      <c r="I147" s="211">
        <v>451400</v>
      </c>
      <c r="J147" s="211">
        <v>451400</v>
      </c>
    </row>
    <row r="148" spans="1:10" x14ac:dyDescent="0.2">
      <c r="A148" s="207">
        <v>218</v>
      </c>
      <c r="B148" s="129" t="s">
        <v>294</v>
      </c>
      <c r="C148" s="129"/>
      <c r="D148" s="129"/>
      <c r="E148" s="211">
        <v>22401</v>
      </c>
      <c r="F148" s="209">
        <v>63100</v>
      </c>
      <c r="G148" s="211">
        <v>63100</v>
      </c>
      <c r="H148" s="210">
        <v>30100</v>
      </c>
      <c r="I148" s="211">
        <v>52400</v>
      </c>
      <c r="J148" s="211">
        <v>30100</v>
      </c>
    </row>
    <row r="149" spans="1:10" ht="15" customHeight="1" x14ac:dyDescent="0.2">
      <c r="A149" s="156" t="s">
        <v>295</v>
      </c>
      <c r="B149" s="156"/>
      <c r="C149" s="156"/>
      <c r="D149" s="156"/>
      <c r="E149" s="157">
        <f t="shared" ref="E149:J149" si="32">SUM(E145:E148)</f>
        <v>1623723.72</v>
      </c>
      <c r="F149" s="157">
        <f t="shared" si="32"/>
        <v>1877600</v>
      </c>
      <c r="G149" s="157">
        <f t="shared" si="32"/>
        <v>1674400</v>
      </c>
      <c r="H149" s="157">
        <f t="shared" si="32"/>
        <v>1968300</v>
      </c>
      <c r="I149" s="157">
        <f t="shared" si="32"/>
        <v>2081100</v>
      </c>
      <c r="J149" s="157">
        <f t="shared" si="32"/>
        <v>2084200</v>
      </c>
    </row>
    <row r="150" spans="1:10" ht="15" customHeight="1" x14ac:dyDescent="0.2">
      <c r="A150" s="156" t="s">
        <v>296</v>
      </c>
      <c r="B150" s="156"/>
      <c r="C150" s="156"/>
      <c r="D150" s="156"/>
      <c r="E150" s="156"/>
      <c r="F150" s="156"/>
      <c r="G150" s="156"/>
      <c r="H150" s="156"/>
      <c r="I150" s="156"/>
      <c r="J150" s="190"/>
    </row>
    <row r="151" spans="1:10" x14ac:dyDescent="0.2">
      <c r="A151" s="207">
        <v>224</v>
      </c>
      <c r="B151" s="129" t="s">
        <v>206</v>
      </c>
      <c r="C151" s="129"/>
      <c r="D151" s="129"/>
      <c r="E151" s="211">
        <v>0</v>
      </c>
      <c r="F151" s="211">
        <v>23000</v>
      </c>
      <c r="G151" s="211">
        <v>23000</v>
      </c>
      <c r="H151" s="210">
        <v>23000</v>
      </c>
      <c r="I151" s="211">
        <v>23000</v>
      </c>
      <c r="J151" s="211">
        <v>23000</v>
      </c>
    </row>
    <row r="152" spans="1:10" x14ac:dyDescent="0.2">
      <c r="A152" s="207">
        <v>228</v>
      </c>
      <c r="B152" s="129" t="s">
        <v>208</v>
      </c>
      <c r="C152" s="129"/>
      <c r="D152" s="129"/>
      <c r="E152" s="211">
        <v>74945.05</v>
      </c>
      <c r="F152" s="211">
        <v>75000</v>
      </c>
      <c r="G152" s="211">
        <v>76900</v>
      </c>
      <c r="H152" s="210">
        <v>75000</v>
      </c>
      <c r="I152" s="211">
        <v>75000</v>
      </c>
      <c r="J152" s="211">
        <v>75000</v>
      </c>
    </row>
    <row r="153" spans="1:10" x14ac:dyDescent="0.2">
      <c r="A153" s="207">
        <v>229</v>
      </c>
      <c r="B153" s="129" t="s">
        <v>209</v>
      </c>
      <c r="C153" s="129"/>
      <c r="D153" s="129"/>
      <c r="E153" s="211">
        <v>9994.6299999999992</v>
      </c>
      <c r="F153" s="211">
        <v>10000</v>
      </c>
      <c r="G153" s="211">
        <v>10200</v>
      </c>
      <c r="H153" s="210">
        <v>10000</v>
      </c>
      <c r="I153" s="211">
        <v>10000</v>
      </c>
      <c r="J153" s="211">
        <v>10000</v>
      </c>
    </row>
    <row r="154" spans="1:10" x14ac:dyDescent="0.2">
      <c r="A154" s="207">
        <v>232</v>
      </c>
      <c r="B154" s="129" t="s">
        <v>211</v>
      </c>
      <c r="C154" s="129"/>
      <c r="D154" s="129"/>
      <c r="E154" s="211">
        <v>49863.040000000001</v>
      </c>
      <c r="F154" s="211">
        <v>35000</v>
      </c>
      <c r="G154" s="211">
        <v>34900</v>
      </c>
      <c r="H154" s="210">
        <v>65000</v>
      </c>
      <c r="I154" s="211">
        <v>65000</v>
      </c>
      <c r="J154" s="211">
        <v>65000</v>
      </c>
    </row>
    <row r="155" spans="1:10" x14ac:dyDescent="0.2">
      <c r="A155" s="207">
        <v>236</v>
      </c>
      <c r="B155" s="129" t="s">
        <v>213</v>
      </c>
      <c r="C155" s="129"/>
      <c r="D155" s="129"/>
      <c r="E155" s="211">
        <v>174976.71</v>
      </c>
      <c r="F155" s="211">
        <v>150000</v>
      </c>
      <c r="G155" s="211">
        <v>150000</v>
      </c>
      <c r="H155" s="210">
        <v>150000</v>
      </c>
      <c r="I155" s="211">
        <v>150000</v>
      </c>
      <c r="J155" s="211">
        <v>150000</v>
      </c>
    </row>
    <row r="156" spans="1:10" x14ac:dyDescent="0.2">
      <c r="A156" s="207">
        <v>266</v>
      </c>
      <c r="B156" s="129" t="s">
        <v>223</v>
      </c>
      <c r="C156" s="129"/>
      <c r="D156" s="129"/>
      <c r="E156" s="211">
        <v>32540.11</v>
      </c>
      <c r="F156" s="211">
        <v>40000</v>
      </c>
      <c r="G156" s="211">
        <v>41100</v>
      </c>
      <c r="H156" s="210">
        <v>50000</v>
      </c>
      <c r="I156" s="211">
        <v>40000</v>
      </c>
      <c r="J156" s="211">
        <v>40000</v>
      </c>
    </row>
    <row r="157" spans="1:10" ht="15" customHeight="1" x14ac:dyDescent="0.2">
      <c r="A157" s="156" t="s">
        <v>298</v>
      </c>
      <c r="B157" s="156"/>
      <c r="C157" s="156"/>
      <c r="D157" s="156"/>
      <c r="E157" s="157">
        <f t="shared" ref="E157:J157" si="33">SUM(E151:E156)</f>
        <v>342319.54</v>
      </c>
      <c r="F157" s="157">
        <f t="shared" si="33"/>
        <v>333000</v>
      </c>
      <c r="G157" s="157">
        <f t="shared" si="33"/>
        <v>336100</v>
      </c>
      <c r="H157" s="157">
        <f t="shared" si="33"/>
        <v>373000</v>
      </c>
      <c r="I157" s="157">
        <f t="shared" si="33"/>
        <v>363000</v>
      </c>
      <c r="J157" s="157">
        <f t="shared" si="33"/>
        <v>363000</v>
      </c>
    </row>
    <row r="158" spans="1:10" ht="15" customHeight="1" x14ac:dyDescent="0.2">
      <c r="A158" s="159" t="s">
        <v>299</v>
      </c>
      <c r="B158" s="159"/>
      <c r="C158" s="159"/>
      <c r="D158" s="159"/>
      <c r="E158" s="160">
        <f t="shared" ref="E158:J158" si="34">SUM(E149,E157)</f>
        <v>1966043.26</v>
      </c>
      <c r="F158" s="160">
        <f t="shared" si="34"/>
        <v>2210600</v>
      </c>
      <c r="G158" s="160">
        <f t="shared" si="34"/>
        <v>2010500</v>
      </c>
      <c r="H158" s="160">
        <f t="shared" si="34"/>
        <v>2341300</v>
      </c>
      <c r="I158" s="160">
        <f t="shared" si="34"/>
        <v>2444100</v>
      </c>
      <c r="J158" s="160">
        <f t="shared" si="34"/>
        <v>2447200</v>
      </c>
    </row>
    <row r="159" spans="1:10" ht="15" customHeight="1" x14ac:dyDescent="0.2">
      <c r="A159" s="129"/>
      <c r="B159" s="129"/>
      <c r="C159" s="129"/>
      <c r="D159" s="129"/>
      <c r="E159" s="129"/>
      <c r="F159" s="129"/>
      <c r="G159" s="129"/>
      <c r="H159" s="129"/>
      <c r="I159" s="129"/>
      <c r="J159" s="190"/>
    </row>
    <row r="160" spans="1:10" x14ac:dyDescent="0.2">
      <c r="A160" s="162" t="s">
        <v>15</v>
      </c>
      <c r="B160" s="162"/>
      <c r="C160" s="162"/>
      <c r="D160" s="162"/>
      <c r="E160" s="162"/>
      <c r="F160" s="162"/>
      <c r="G160" s="162"/>
      <c r="H160" s="162"/>
      <c r="I160" s="162"/>
      <c r="J160" s="162"/>
    </row>
    <row r="161" spans="1:10" ht="18.75" customHeight="1" x14ac:dyDescent="0.2">
      <c r="A161" s="131" t="s">
        <v>242</v>
      </c>
      <c r="B161" s="131"/>
      <c r="C161" s="131"/>
      <c r="D161" s="131"/>
      <c r="E161" s="128" t="str">
        <f t="shared" ref="E161:J161" si="35">E24</f>
        <v>Actuals           2014-2015</v>
      </c>
      <c r="F161" s="128" t="str">
        <f t="shared" si="35"/>
        <v>Approved Estimates          2015-2016</v>
      </c>
      <c r="G161" s="128" t="str">
        <f t="shared" si="35"/>
        <v>Revised Estimates                 2015-2016</v>
      </c>
      <c r="H161" s="128" t="str">
        <f t="shared" si="35"/>
        <v>Budget Estimates      2016-2017</v>
      </c>
      <c r="I161" s="128" t="str">
        <f t="shared" si="35"/>
        <v>Forward Estimates     2017-2018</v>
      </c>
      <c r="J161" s="128" t="str">
        <f t="shared" si="35"/>
        <v>Forward Estimates     2018-2019</v>
      </c>
    </row>
    <row r="162" spans="1:10" ht="15" customHeight="1" x14ac:dyDescent="0.2">
      <c r="A162" s="130" t="s">
        <v>243</v>
      </c>
      <c r="B162" s="130" t="s">
        <v>244</v>
      </c>
      <c r="C162" s="131" t="s">
        <v>245</v>
      </c>
      <c r="D162" s="131"/>
      <c r="E162" s="101"/>
      <c r="F162" s="101"/>
      <c r="G162" s="101"/>
      <c r="H162" s="101"/>
      <c r="I162" s="101"/>
      <c r="J162" s="101"/>
    </row>
    <row r="163" spans="1:10" x14ac:dyDescent="0.2">
      <c r="A163" s="163"/>
      <c r="B163" s="163"/>
      <c r="C163" s="156"/>
      <c r="D163" s="156"/>
      <c r="E163" s="158"/>
      <c r="F163" s="209"/>
      <c r="G163" s="158"/>
      <c r="H163" s="136"/>
      <c r="I163" s="158"/>
      <c r="J163" s="135"/>
    </row>
    <row r="164" spans="1:10" x14ac:dyDescent="0.2">
      <c r="A164" s="163"/>
      <c r="B164" s="163"/>
      <c r="C164" s="156"/>
      <c r="D164" s="156"/>
      <c r="E164" s="158"/>
      <c r="F164" s="209"/>
      <c r="G164" s="158"/>
      <c r="H164" s="136"/>
      <c r="I164" s="158"/>
      <c r="J164" s="135"/>
    </row>
    <row r="165" spans="1:10" x14ac:dyDescent="0.2">
      <c r="A165" s="137" t="s">
        <v>15</v>
      </c>
      <c r="B165" s="137"/>
      <c r="C165" s="137"/>
      <c r="D165" s="137"/>
      <c r="E165" s="138">
        <v>0</v>
      </c>
      <c r="F165" s="138">
        <v>0</v>
      </c>
      <c r="G165" s="138">
        <v>0</v>
      </c>
      <c r="H165" s="138">
        <v>0</v>
      </c>
      <c r="I165" s="138">
        <v>0</v>
      </c>
      <c r="J165" s="138">
        <v>0</v>
      </c>
    </row>
    <row r="166" spans="1:10" ht="15" customHeight="1" x14ac:dyDescent="0.2">
      <c r="A166" s="290"/>
      <c r="B166" s="290"/>
      <c r="C166" s="290"/>
      <c r="D166" s="290"/>
      <c r="E166" s="290"/>
      <c r="F166" s="290"/>
      <c r="G166" s="290"/>
      <c r="H166" s="290"/>
      <c r="I166" s="290"/>
      <c r="J166" s="290"/>
    </row>
    <row r="167" spans="1:10" x14ac:dyDescent="0.2">
      <c r="A167" s="161" t="s">
        <v>288</v>
      </c>
      <c r="B167" s="161"/>
      <c r="C167" s="161"/>
      <c r="D167" s="161"/>
      <c r="E167" s="161"/>
      <c r="F167" s="161"/>
      <c r="G167" s="161"/>
      <c r="H167" s="161"/>
      <c r="I167" s="161"/>
      <c r="J167" s="161"/>
    </row>
    <row r="168" spans="1:10" ht="15" customHeight="1" x14ac:dyDescent="0.2">
      <c r="A168" s="131" t="s">
        <v>300</v>
      </c>
      <c r="B168" s="131"/>
      <c r="C168" s="131"/>
      <c r="D168" s="132" t="s">
        <v>301</v>
      </c>
      <c r="E168" s="132" t="s">
        <v>302</v>
      </c>
      <c r="F168" s="131" t="s">
        <v>300</v>
      </c>
      <c r="G168" s="131"/>
      <c r="H168" s="131"/>
      <c r="I168" s="132" t="s">
        <v>301</v>
      </c>
      <c r="J168" s="132" t="s">
        <v>302</v>
      </c>
    </row>
    <row r="169" spans="1:10" ht="15" customHeight="1" x14ac:dyDescent="0.2">
      <c r="A169" s="134" t="str">
        <f>Establishment!D601</f>
        <v>Pediatrician</v>
      </c>
      <c r="B169" s="134"/>
      <c r="C169" s="134"/>
      <c r="D169" s="133" t="str">
        <f>Establishment!E601</f>
        <v>R12-8</v>
      </c>
      <c r="E169" s="133">
        <f>Establishment!C601</f>
        <v>1</v>
      </c>
      <c r="F169" s="134" t="str">
        <f>Establishment!D612</f>
        <v>Staff /District Nurse</v>
      </c>
      <c r="G169" s="134"/>
      <c r="H169" s="134"/>
      <c r="I169" s="133" t="str">
        <f>Establishment!E612</f>
        <v>R28-22</v>
      </c>
      <c r="J169" s="133">
        <f>Establishment!C612</f>
        <v>5</v>
      </c>
    </row>
    <row r="170" spans="1:10" ht="22.5" x14ac:dyDescent="0.2">
      <c r="A170" s="134" t="str">
        <f>Establishment!D602</f>
        <v>District Medical Officer/Anesthetist</v>
      </c>
      <c r="B170" s="134"/>
      <c r="C170" s="134"/>
      <c r="D170" s="133" t="str">
        <f>Establishment!E602</f>
        <v>R12-8/6</v>
      </c>
      <c r="E170" s="133">
        <f>Establishment!C602</f>
        <v>1</v>
      </c>
      <c r="F170" s="134" t="str">
        <f>Establishment!D613</f>
        <v>Graduate/Registered Nurse</v>
      </c>
      <c r="G170" s="134"/>
      <c r="H170" s="134"/>
      <c r="I170" s="133" t="str">
        <f>Establishment!E613</f>
        <v>R37-35/32-30</v>
      </c>
      <c r="J170" s="133">
        <f>Establishment!C613</f>
        <v>2</v>
      </c>
    </row>
    <row r="171" spans="1:10" ht="15" customHeight="1" x14ac:dyDescent="0.2">
      <c r="A171" s="134" t="str">
        <f>Establishment!D603</f>
        <v>Medical Officer</v>
      </c>
      <c r="B171" s="134"/>
      <c r="C171" s="134"/>
      <c r="D171" s="133" t="str">
        <f>Establishment!E603</f>
        <v>R12-8</v>
      </c>
      <c r="E171" s="133">
        <f>Establishment!C603</f>
        <v>1</v>
      </c>
      <c r="F171" s="134" t="str">
        <f>Establishment!D614</f>
        <v>Senior Enrolled Nursing Assistant</v>
      </c>
      <c r="G171" s="134"/>
      <c r="H171" s="134"/>
      <c r="I171" s="133" t="str">
        <f>Establishment!E614</f>
        <v>R33-31</v>
      </c>
      <c r="J171" s="133">
        <f>Establishment!C614</f>
        <v>1</v>
      </c>
    </row>
    <row r="172" spans="1:10" ht="22.5" x14ac:dyDescent="0.2">
      <c r="A172" s="212" t="str">
        <f>Establishment!D604</f>
        <v>Health Promotion Coordinator</v>
      </c>
      <c r="B172" s="213"/>
      <c r="C172" s="214"/>
      <c r="D172" s="133" t="str">
        <f>Establishment!E604</f>
        <v>R17-13</v>
      </c>
      <c r="E172" s="133">
        <f>Establishment!C604</f>
        <v>1</v>
      </c>
      <c r="F172" s="212" t="str">
        <f>Establishment!D615</f>
        <v>Enrolled Nursing Assistant</v>
      </c>
      <c r="G172" s="213"/>
      <c r="H172" s="214"/>
      <c r="I172" s="133" t="str">
        <f>Establishment!E615</f>
        <v>R46-34/39-34</v>
      </c>
      <c r="J172" s="133">
        <f>Establishment!C615</f>
        <v>1</v>
      </c>
    </row>
    <row r="173" spans="1:10" ht="15" customHeight="1" x14ac:dyDescent="0.2">
      <c r="A173" s="134" t="str">
        <f>Establishment!D605</f>
        <v>Community Nursing Manager</v>
      </c>
      <c r="B173" s="134"/>
      <c r="C173" s="134"/>
      <c r="D173" s="133" t="str">
        <f>Establishment!E605</f>
        <v>R18-16</v>
      </c>
      <c r="E173" s="133">
        <f>Establishment!C605</f>
        <v>1</v>
      </c>
      <c r="F173" s="134" t="str">
        <f>Establishment!D616</f>
        <v>Mental Health Warden</v>
      </c>
      <c r="G173" s="134"/>
      <c r="H173" s="134"/>
      <c r="I173" s="133" t="str">
        <f>Establishment!E616</f>
        <v>R33-29</v>
      </c>
      <c r="J173" s="133">
        <f>Establishment!C616</f>
        <v>1</v>
      </c>
    </row>
    <row r="174" spans="1:10" ht="15" customHeight="1" x14ac:dyDescent="0.2">
      <c r="A174" s="134" t="str">
        <f>Establishment!D606</f>
        <v>Physiotherapist</v>
      </c>
      <c r="B174" s="134"/>
      <c r="C174" s="134"/>
      <c r="D174" s="133" t="str">
        <f>Establishment!E606</f>
        <v>R22-16</v>
      </c>
      <c r="E174" s="133">
        <f>Establishment!C606</f>
        <v>1</v>
      </c>
      <c r="F174" s="134" t="str">
        <f>Establishment!D617</f>
        <v>Dental Surgeon</v>
      </c>
      <c r="G174" s="134"/>
      <c r="H174" s="134"/>
      <c r="I174" s="133" t="str">
        <f>Establishment!E617</f>
        <v>R12-8/6</v>
      </c>
      <c r="J174" s="133">
        <f>Establishment!C617</f>
        <v>1</v>
      </c>
    </row>
    <row r="175" spans="1:10" ht="15" customHeight="1" x14ac:dyDescent="0.2">
      <c r="A175" s="134" t="str">
        <f>Establishment!D607</f>
        <v>Family Nurse Practitioner</v>
      </c>
      <c r="B175" s="134"/>
      <c r="C175" s="134"/>
      <c r="D175" s="133" t="str">
        <f>Establishment!E607</f>
        <v>R22-16</v>
      </c>
      <c r="E175" s="133">
        <f>Establishment!C607</f>
        <v>1</v>
      </c>
      <c r="F175" s="134" t="str">
        <f>Establishment!D618</f>
        <v>Dental Nurse</v>
      </c>
      <c r="G175" s="134"/>
      <c r="H175" s="134"/>
      <c r="I175" s="133" t="str">
        <f>Establishment!E618</f>
        <v>R28-22</v>
      </c>
      <c r="J175" s="133">
        <f>Establishment!C618</f>
        <v>1</v>
      </c>
    </row>
    <row r="176" spans="1:10" ht="15" customHeight="1" x14ac:dyDescent="0.2">
      <c r="A176" s="134" t="str">
        <f>Establishment!D608</f>
        <v>Community Mental Health Officer</v>
      </c>
      <c r="B176" s="134"/>
      <c r="C176" s="134"/>
      <c r="D176" s="133" t="str">
        <f>Establishment!E608</f>
        <v>R22-16</v>
      </c>
      <c r="E176" s="133">
        <f>Establishment!C608</f>
        <v>1</v>
      </c>
      <c r="F176" s="134" t="str">
        <f>Establishment!D619</f>
        <v>Dental Assistant</v>
      </c>
      <c r="G176" s="134"/>
      <c r="H176" s="134"/>
      <c r="I176" s="133" t="str">
        <f>Establishment!E619</f>
        <v>R39-34</v>
      </c>
      <c r="J176" s="133">
        <f>Establishment!C619</f>
        <v>2</v>
      </c>
    </row>
    <row r="177" spans="1:10" ht="15" customHeight="1" x14ac:dyDescent="0.2">
      <c r="A177" s="134" t="str">
        <f>Establishment!D609</f>
        <v>Community Psychiatric Nurse</v>
      </c>
      <c r="B177" s="134"/>
      <c r="C177" s="134"/>
      <c r="D177" s="133" t="str">
        <f>Establishment!E609</f>
        <v>R22-18</v>
      </c>
      <c r="E177" s="133">
        <f>Establishment!C609</f>
        <v>1</v>
      </c>
      <c r="F177" s="134" t="str">
        <f>Establishment!D620</f>
        <v>Clerical Officer</v>
      </c>
      <c r="G177" s="134"/>
      <c r="H177" s="134"/>
      <c r="I177" s="133" t="str">
        <f>Establishment!E620</f>
        <v>R46-34</v>
      </c>
      <c r="J177" s="133">
        <f>Establishment!C620</f>
        <v>2</v>
      </c>
    </row>
    <row r="178" spans="1:10" ht="15" customHeight="1" x14ac:dyDescent="0.2">
      <c r="A178" s="134" t="str">
        <f>Establishment!D610</f>
        <v>Public Health Nurse</v>
      </c>
      <c r="B178" s="134"/>
      <c r="C178" s="134"/>
      <c r="D178" s="133" t="str">
        <f>Establishment!E610</f>
        <v>R22-18</v>
      </c>
      <c r="E178" s="133">
        <f>Establishment!C610</f>
        <v>2</v>
      </c>
      <c r="F178" s="134" t="str">
        <f>Establishment!D624</f>
        <v>Cleaner</v>
      </c>
      <c r="G178" s="134"/>
      <c r="H178" s="134"/>
      <c r="I178" s="133">
        <f>Establishment!E624</f>
        <v>0</v>
      </c>
      <c r="J178" s="133">
        <f>Establishment!C624</f>
        <v>5</v>
      </c>
    </row>
    <row r="179" spans="1:10" ht="15" customHeight="1" x14ac:dyDescent="0.2">
      <c r="A179" s="134" t="str">
        <f>Establishment!D611</f>
        <v>Psychiatric Nurse</v>
      </c>
      <c r="B179" s="134"/>
      <c r="C179" s="134"/>
      <c r="D179" s="133" t="str">
        <f>Establishment!E611</f>
        <v>R28-22</v>
      </c>
      <c r="E179" s="133">
        <f>Establishment!C611</f>
        <v>1</v>
      </c>
      <c r="F179" s="134" t="str">
        <f>Establishment!D625</f>
        <v>Clinic Maid</v>
      </c>
      <c r="G179" s="134"/>
      <c r="H179" s="134"/>
      <c r="I179" s="133">
        <f>Establishment!E625</f>
        <v>0</v>
      </c>
      <c r="J179" s="133">
        <f>Establishment!C625</f>
        <v>4</v>
      </c>
    </row>
    <row r="180" spans="1:10" x14ac:dyDescent="0.2">
      <c r="A180" s="203" t="s">
        <v>303</v>
      </c>
      <c r="B180" s="203"/>
      <c r="C180" s="203"/>
      <c r="D180" s="203"/>
      <c r="E180" s="203"/>
      <c r="F180" s="203"/>
      <c r="G180" s="203"/>
      <c r="H180" s="203"/>
      <c r="I180" s="203"/>
      <c r="J180" s="204">
        <f>SUM(E169:E179,J169:J179)</f>
        <v>37</v>
      </c>
    </row>
    <row r="181" spans="1:10" ht="6.75" customHeight="1" x14ac:dyDescent="0.2">
      <c r="A181" s="129"/>
      <c r="B181" s="129"/>
      <c r="C181" s="129"/>
      <c r="D181" s="129"/>
      <c r="E181" s="129"/>
      <c r="F181" s="129"/>
      <c r="G181" s="129"/>
      <c r="H181" s="129"/>
      <c r="I181" s="129"/>
      <c r="J181" s="129"/>
    </row>
    <row r="182" spans="1:10" x14ac:dyDescent="0.2">
      <c r="A182" s="180" t="s">
        <v>304</v>
      </c>
      <c r="B182" s="180"/>
      <c r="C182" s="180"/>
      <c r="D182" s="180"/>
      <c r="E182" s="180"/>
      <c r="F182" s="180"/>
      <c r="G182" s="180"/>
      <c r="H182" s="180"/>
      <c r="I182" s="180"/>
      <c r="J182" s="180"/>
    </row>
    <row r="183" spans="1:10" ht="15" customHeight="1" x14ac:dyDescent="0.2">
      <c r="A183" s="181" t="s">
        <v>305</v>
      </c>
      <c r="B183" s="181"/>
      <c r="C183" s="181"/>
      <c r="D183" s="181"/>
      <c r="E183" s="181"/>
      <c r="F183" s="181"/>
      <c r="G183" s="181"/>
      <c r="H183" s="181"/>
      <c r="I183" s="181"/>
      <c r="J183" s="181"/>
    </row>
    <row r="184" spans="1:10" ht="24.75" customHeight="1" x14ac:dyDescent="0.2">
      <c r="A184" s="129" t="s">
        <v>1826</v>
      </c>
      <c r="B184" s="129"/>
      <c r="C184" s="129"/>
      <c r="D184" s="129"/>
      <c r="E184" s="129"/>
      <c r="F184" s="129"/>
      <c r="G184" s="129"/>
      <c r="H184" s="129"/>
      <c r="I184" s="129"/>
      <c r="J184" s="129"/>
    </row>
    <row r="185" spans="1:10" x14ac:dyDescent="0.2">
      <c r="A185" s="129" t="s">
        <v>1827</v>
      </c>
      <c r="B185" s="129"/>
      <c r="C185" s="129"/>
      <c r="D185" s="129"/>
      <c r="E185" s="129"/>
      <c r="F185" s="129"/>
      <c r="G185" s="129"/>
      <c r="H185" s="129"/>
      <c r="I185" s="129"/>
      <c r="J185" s="129"/>
    </row>
    <row r="186" spans="1:10" ht="24.75" customHeight="1" x14ac:dyDescent="0.2">
      <c r="A186" s="129" t="s">
        <v>1828</v>
      </c>
      <c r="B186" s="129"/>
      <c r="C186" s="129"/>
      <c r="D186" s="129"/>
      <c r="E186" s="129"/>
      <c r="F186" s="129"/>
      <c r="G186" s="129"/>
      <c r="H186" s="129"/>
      <c r="I186" s="129"/>
      <c r="J186" s="129"/>
    </row>
    <row r="187" spans="1:10" x14ac:dyDescent="0.2">
      <c r="A187" s="129" t="s">
        <v>1829</v>
      </c>
      <c r="B187" s="129"/>
      <c r="C187" s="129"/>
      <c r="D187" s="129"/>
      <c r="E187" s="129"/>
      <c r="F187" s="129"/>
      <c r="G187" s="129"/>
      <c r="H187" s="129"/>
      <c r="I187" s="129"/>
      <c r="J187" s="129"/>
    </row>
    <row r="188" spans="1:10" x14ac:dyDescent="0.2">
      <c r="A188" s="182" t="s">
        <v>1830</v>
      </c>
      <c r="B188" s="129"/>
      <c r="C188" s="129"/>
      <c r="D188" s="129"/>
      <c r="E188" s="129"/>
      <c r="F188" s="129"/>
      <c r="G188" s="129"/>
      <c r="H188" s="129"/>
      <c r="I188" s="129"/>
      <c r="J188" s="129"/>
    </row>
    <row r="189" spans="1:10" ht="24.75" customHeight="1" x14ac:dyDescent="0.2">
      <c r="A189" s="129" t="s">
        <v>1831</v>
      </c>
      <c r="B189" s="129"/>
      <c r="C189" s="129"/>
      <c r="D189" s="129"/>
      <c r="E189" s="129"/>
      <c r="F189" s="129"/>
      <c r="G189" s="129"/>
      <c r="H189" s="129"/>
      <c r="I189" s="129"/>
      <c r="J189" s="129"/>
    </row>
    <row r="190" spans="1:10" x14ac:dyDescent="0.2">
      <c r="A190" s="129" t="s">
        <v>1832</v>
      </c>
      <c r="B190" s="129"/>
      <c r="C190" s="129"/>
      <c r="D190" s="129"/>
      <c r="E190" s="129"/>
      <c r="F190" s="129"/>
      <c r="G190" s="129"/>
      <c r="H190" s="129"/>
      <c r="I190" s="129"/>
      <c r="J190" s="129"/>
    </row>
    <row r="191" spans="1:10" ht="6" customHeight="1" x14ac:dyDescent="0.2">
      <c r="A191" s="129"/>
      <c r="B191" s="129"/>
      <c r="C191" s="129"/>
      <c r="D191" s="129"/>
      <c r="E191" s="129"/>
      <c r="F191" s="129"/>
      <c r="G191" s="129"/>
      <c r="H191" s="129"/>
      <c r="I191" s="129"/>
      <c r="J191" s="129"/>
    </row>
    <row r="192" spans="1:10" x14ac:dyDescent="0.2">
      <c r="A192" s="183" t="s">
        <v>415</v>
      </c>
      <c r="B192" s="183"/>
      <c r="C192" s="183"/>
      <c r="D192" s="183"/>
      <c r="E192" s="183"/>
      <c r="F192" s="183"/>
      <c r="G192" s="183"/>
      <c r="H192" s="183"/>
      <c r="I192" s="183"/>
      <c r="J192" s="183"/>
    </row>
    <row r="193" spans="1:10" ht="15" customHeight="1" x14ac:dyDescent="0.2">
      <c r="A193" s="369"/>
      <c r="B193" s="369"/>
      <c r="C193" s="369"/>
      <c r="D193" s="369"/>
      <c r="E193" s="369"/>
      <c r="F193" s="369"/>
      <c r="G193" s="369"/>
      <c r="H193" s="369"/>
      <c r="I193" s="369"/>
      <c r="J193" s="369"/>
    </row>
    <row r="194" spans="1:10" x14ac:dyDescent="0.2">
      <c r="A194" s="129"/>
      <c r="B194" s="129"/>
      <c r="C194" s="129"/>
      <c r="D194" s="129"/>
      <c r="E194" s="129"/>
      <c r="F194" s="129"/>
      <c r="G194" s="129"/>
      <c r="H194" s="129"/>
      <c r="I194" s="129"/>
      <c r="J194" s="129"/>
    </row>
    <row r="195" spans="1:10" ht="22.5" x14ac:dyDescent="0.2">
      <c r="A195" s="180" t="s">
        <v>315</v>
      </c>
      <c r="B195" s="180"/>
      <c r="C195" s="180"/>
      <c r="D195" s="180"/>
      <c r="E195" s="180"/>
      <c r="F195" s="184" t="s">
        <v>532</v>
      </c>
      <c r="G195" s="184" t="s">
        <v>533</v>
      </c>
      <c r="H195" s="184" t="s">
        <v>534</v>
      </c>
      <c r="I195" s="184" t="s">
        <v>535</v>
      </c>
      <c r="J195" s="184" t="s">
        <v>536</v>
      </c>
    </row>
    <row r="196" spans="1:10" ht="14.25" customHeight="1" x14ac:dyDescent="0.2">
      <c r="A196" s="180" t="s">
        <v>316</v>
      </c>
      <c r="B196" s="180"/>
      <c r="C196" s="180"/>
      <c r="D196" s="180"/>
      <c r="E196" s="180"/>
      <c r="F196" s="180"/>
      <c r="G196" s="180"/>
      <c r="H196" s="180"/>
      <c r="I196" s="180"/>
      <c r="J196" s="180"/>
    </row>
    <row r="197" spans="1:10" ht="157.5" x14ac:dyDescent="0.2">
      <c r="A197" s="514" t="s">
        <v>1833</v>
      </c>
      <c r="B197" s="514"/>
      <c r="C197" s="514"/>
      <c r="D197" s="514"/>
      <c r="E197" s="514"/>
      <c r="F197" s="515"/>
      <c r="G197" s="513" t="s">
        <v>1834</v>
      </c>
      <c r="H197" s="513" t="s">
        <v>1835</v>
      </c>
      <c r="I197" s="513" t="s">
        <v>1835</v>
      </c>
      <c r="J197" s="513" t="s">
        <v>1835</v>
      </c>
    </row>
    <row r="198" spans="1:10" ht="33.75" x14ac:dyDescent="0.2">
      <c r="A198" s="296" t="s">
        <v>1836</v>
      </c>
      <c r="B198" s="296"/>
      <c r="C198" s="296"/>
      <c r="D198" s="296"/>
      <c r="E198" s="296"/>
      <c r="F198" s="273"/>
      <c r="G198" s="261">
        <v>182</v>
      </c>
      <c r="H198" s="261" t="s">
        <v>1837</v>
      </c>
      <c r="I198" s="261" t="s">
        <v>1837</v>
      </c>
      <c r="J198" s="261" t="s">
        <v>1837</v>
      </c>
    </row>
    <row r="199" spans="1:10" ht="45" x14ac:dyDescent="0.2">
      <c r="A199" s="296" t="s">
        <v>1838</v>
      </c>
      <c r="B199" s="296"/>
      <c r="C199" s="296"/>
      <c r="D199" s="296"/>
      <c r="E199" s="296"/>
      <c r="F199" s="273"/>
      <c r="G199" s="261" t="s">
        <v>651</v>
      </c>
      <c r="H199" s="261" t="s">
        <v>1837</v>
      </c>
      <c r="I199" s="261" t="s">
        <v>1839</v>
      </c>
      <c r="J199" s="261" t="s">
        <v>1840</v>
      </c>
    </row>
    <row r="200" spans="1:10" x14ac:dyDescent="0.2">
      <c r="A200" s="188"/>
      <c r="B200" s="188"/>
      <c r="C200" s="188"/>
      <c r="D200" s="188"/>
      <c r="E200" s="188"/>
      <c r="F200" s="273"/>
      <c r="G200" s="190"/>
      <c r="H200" s="190"/>
      <c r="I200" s="190"/>
      <c r="J200" s="190"/>
    </row>
    <row r="201" spans="1:10" ht="24" customHeight="1" x14ac:dyDescent="0.2">
      <c r="A201" s="180" t="s">
        <v>324</v>
      </c>
      <c r="B201" s="180"/>
      <c r="C201" s="180"/>
      <c r="D201" s="180"/>
      <c r="E201" s="180"/>
      <c r="F201" s="180"/>
      <c r="G201" s="180"/>
      <c r="H201" s="180"/>
      <c r="I201" s="180"/>
      <c r="J201" s="180"/>
    </row>
    <row r="202" spans="1:10" ht="33.75" x14ac:dyDescent="0.2">
      <c r="A202" s="498" t="s">
        <v>1841</v>
      </c>
      <c r="B202" s="498"/>
      <c r="C202" s="498"/>
      <c r="D202" s="498"/>
      <c r="E202" s="498"/>
      <c r="F202" s="305">
        <v>53</v>
      </c>
      <c r="G202" s="305">
        <v>50</v>
      </c>
      <c r="H202" s="305" t="s">
        <v>1842</v>
      </c>
      <c r="I202" s="305" t="s">
        <v>1843</v>
      </c>
      <c r="J202" s="305" t="s">
        <v>1844</v>
      </c>
    </row>
    <row r="203" spans="1:10" ht="25.5" customHeight="1" x14ac:dyDescent="0.2">
      <c r="A203" s="498" t="s">
        <v>1845</v>
      </c>
      <c r="B203" s="498"/>
      <c r="C203" s="498"/>
      <c r="D203" s="498"/>
      <c r="E203" s="498"/>
      <c r="F203" s="305"/>
      <c r="G203" s="305" t="s">
        <v>1846</v>
      </c>
      <c r="H203" s="305" t="s">
        <v>1847</v>
      </c>
      <c r="I203" s="305" t="s">
        <v>1848</v>
      </c>
      <c r="J203" s="305" t="s">
        <v>1849</v>
      </c>
    </row>
    <row r="204" spans="1:10" ht="67.5" x14ac:dyDescent="0.2">
      <c r="A204" s="498" t="s">
        <v>1850</v>
      </c>
      <c r="B204" s="498"/>
      <c r="C204" s="498"/>
      <c r="D204" s="498"/>
      <c r="E204" s="498"/>
      <c r="F204" s="305" t="s">
        <v>1851</v>
      </c>
      <c r="G204" s="305" t="s">
        <v>1852</v>
      </c>
      <c r="H204" s="305" t="s">
        <v>1852</v>
      </c>
      <c r="I204" s="305" t="s">
        <v>1852</v>
      </c>
      <c r="J204" s="305" t="s">
        <v>1852</v>
      </c>
    </row>
    <row r="205" spans="1:10" ht="22.5" x14ac:dyDescent="0.2">
      <c r="A205" s="498" t="s">
        <v>1853</v>
      </c>
      <c r="B205" s="498"/>
      <c r="C205" s="498"/>
      <c r="D205" s="498"/>
      <c r="E205" s="498"/>
      <c r="F205" s="305">
        <v>0.05</v>
      </c>
      <c r="G205" s="305" t="s">
        <v>1854</v>
      </c>
      <c r="H205" s="305">
        <v>0.3</v>
      </c>
      <c r="I205" s="305">
        <v>0.4</v>
      </c>
      <c r="J205" s="305">
        <v>0.5</v>
      </c>
    </row>
    <row r="206" spans="1:10" ht="22.5" x14ac:dyDescent="0.2">
      <c r="A206" s="498" t="s">
        <v>1855</v>
      </c>
      <c r="B206" s="498"/>
      <c r="C206" s="498"/>
      <c r="D206" s="498"/>
      <c r="E206" s="498"/>
      <c r="F206" s="305" t="s">
        <v>1812</v>
      </c>
      <c r="G206" s="305" t="s">
        <v>651</v>
      </c>
      <c r="H206" s="305" t="s">
        <v>651</v>
      </c>
      <c r="I206" s="305" t="s">
        <v>651</v>
      </c>
      <c r="J206" s="305" t="s">
        <v>651</v>
      </c>
    </row>
    <row r="207" spans="1:10" x14ac:dyDescent="0.2">
      <c r="A207" s="498" t="s">
        <v>1856</v>
      </c>
      <c r="B207" s="498"/>
      <c r="C207" s="498"/>
      <c r="D207" s="498"/>
      <c r="E207" s="498"/>
      <c r="F207" s="386">
        <v>0.34</v>
      </c>
      <c r="G207" s="386">
        <v>0.3</v>
      </c>
      <c r="H207" s="386">
        <v>0.35</v>
      </c>
      <c r="I207" s="386">
        <v>0.4</v>
      </c>
      <c r="J207" s="386">
        <v>0.5</v>
      </c>
    </row>
    <row r="208" spans="1:10" ht="26.25" customHeight="1" x14ac:dyDescent="0.2">
      <c r="A208" s="498" t="s">
        <v>1857</v>
      </c>
      <c r="B208" s="498"/>
      <c r="C208" s="498"/>
      <c r="D208" s="498"/>
      <c r="E208" s="498"/>
      <c r="F208" s="386">
        <v>0.31</v>
      </c>
      <c r="G208" s="386">
        <v>0.35</v>
      </c>
      <c r="H208" s="386">
        <v>0.4</v>
      </c>
      <c r="I208" s="386">
        <v>0.45</v>
      </c>
      <c r="J208" s="386">
        <v>0.5</v>
      </c>
    </row>
    <row r="209" spans="1:10" x14ac:dyDescent="0.2">
      <c r="A209" s="498" t="s">
        <v>1858</v>
      </c>
      <c r="B209" s="498"/>
      <c r="C209" s="498"/>
      <c r="D209" s="498"/>
      <c r="E209" s="498"/>
      <c r="F209" s="386">
        <v>0.47</v>
      </c>
      <c r="G209" s="386">
        <v>0.45</v>
      </c>
      <c r="H209" s="386">
        <v>0.5</v>
      </c>
      <c r="I209" s="386">
        <v>0.5</v>
      </c>
      <c r="J209" s="386">
        <v>0.6</v>
      </c>
    </row>
    <row r="210" spans="1:10" x14ac:dyDescent="0.2">
      <c r="A210" s="498" t="s">
        <v>1859</v>
      </c>
      <c r="B210" s="498"/>
      <c r="C210" s="498"/>
      <c r="D210" s="498"/>
      <c r="E210" s="498"/>
      <c r="F210" s="386">
        <v>1</v>
      </c>
      <c r="G210" s="386">
        <v>1</v>
      </c>
      <c r="H210" s="386">
        <v>1</v>
      </c>
      <c r="I210" s="386">
        <v>1</v>
      </c>
      <c r="J210" s="386">
        <v>1</v>
      </c>
    </row>
    <row r="211" spans="1:10" x14ac:dyDescent="0.2">
      <c r="A211" s="296"/>
      <c r="B211" s="296"/>
      <c r="C211" s="296"/>
      <c r="D211" s="296"/>
      <c r="E211" s="296"/>
      <c r="F211" s="273"/>
      <c r="G211" s="190"/>
      <c r="H211" s="190"/>
      <c r="I211" s="190"/>
      <c r="J211" s="190"/>
    </row>
    <row r="212" spans="1:10" x14ac:dyDescent="0.2">
      <c r="A212" s="129"/>
      <c r="B212" s="129"/>
      <c r="C212" s="129"/>
      <c r="D212" s="129"/>
      <c r="E212" s="129"/>
      <c r="F212" s="129"/>
      <c r="G212" s="129"/>
      <c r="H212" s="129"/>
      <c r="I212" s="129"/>
      <c r="J212" s="129"/>
    </row>
    <row r="213" spans="1:10" ht="15" customHeight="1" x14ac:dyDescent="0.2">
      <c r="A213" s="150" t="s">
        <v>1860</v>
      </c>
      <c r="B213" s="150"/>
      <c r="C213" s="150"/>
      <c r="D213" s="150"/>
      <c r="E213" s="150"/>
      <c r="F213" s="150"/>
      <c r="G213" s="150"/>
      <c r="H213" s="150"/>
      <c r="I213" s="150"/>
      <c r="J213" s="150"/>
    </row>
    <row r="214" spans="1:10" x14ac:dyDescent="0.2">
      <c r="A214" s="389" t="s">
        <v>291</v>
      </c>
      <c r="B214" s="389"/>
      <c r="C214" s="389"/>
      <c r="D214" s="389"/>
      <c r="E214" s="389"/>
      <c r="F214" s="389"/>
      <c r="G214" s="389"/>
      <c r="H214" s="389"/>
      <c r="I214" s="389"/>
      <c r="J214" s="389"/>
    </row>
    <row r="215" spans="1:10" x14ac:dyDescent="0.2">
      <c r="A215" s="129" t="s">
        <v>1861</v>
      </c>
      <c r="B215" s="129"/>
      <c r="C215" s="129"/>
      <c r="D215" s="129"/>
      <c r="E215" s="129"/>
      <c r="F215" s="129"/>
      <c r="G215" s="129"/>
      <c r="H215" s="129"/>
      <c r="I215" s="129"/>
      <c r="J215" s="129"/>
    </row>
    <row r="216" spans="1:10" x14ac:dyDescent="0.2">
      <c r="A216" s="128" t="s">
        <v>293</v>
      </c>
      <c r="B216" s="128"/>
      <c r="C216" s="128"/>
      <c r="D216" s="128"/>
      <c r="E216" s="128"/>
      <c r="F216" s="128"/>
      <c r="G216" s="128"/>
      <c r="H216" s="128"/>
      <c r="I216" s="128"/>
      <c r="J216" s="128"/>
    </row>
    <row r="217" spans="1:10" ht="33.75" x14ac:dyDescent="0.2">
      <c r="A217" s="152" t="s">
        <v>243</v>
      </c>
      <c r="B217" s="151" t="s">
        <v>242</v>
      </c>
      <c r="C217" s="151"/>
      <c r="D217" s="151"/>
      <c r="E217" s="132" t="str">
        <f t="shared" ref="E217:J217" si="36">E24</f>
        <v>Actuals           2014-2015</v>
      </c>
      <c r="F217" s="132" t="str">
        <f t="shared" si="36"/>
        <v>Approved Estimates          2015-2016</v>
      </c>
      <c r="G217" s="132" t="str">
        <f t="shared" si="36"/>
        <v>Revised Estimates                 2015-2016</v>
      </c>
      <c r="H217" s="132" t="str">
        <f t="shared" si="36"/>
        <v>Budget Estimates      2016-2017</v>
      </c>
      <c r="I217" s="132" t="str">
        <f t="shared" si="36"/>
        <v>Forward Estimates     2017-2018</v>
      </c>
      <c r="J217" s="132" t="str">
        <f t="shared" si="36"/>
        <v>Forward Estimates     2018-2019</v>
      </c>
    </row>
    <row r="218" spans="1:10" x14ac:dyDescent="0.2">
      <c r="A218" s="207">
        <v>160</v>
      </c>
      <c r="B218" s="129" t="s">
        <v>1862</v>
      </c>
      <c r="C218" s="129"/>
      <c r="D218" s="129"/>
      <c r="E218" s="211">
        <v>1200</v>
      </c>
      <c r="F218" s="209">
        <v>0</v>
      </c>
      <c r="G218" s="211">
        <v>0</v>
      </c>
      <c r="H218" s="210">
        <v>0</v>
      </c>
      <c r="I218" s="211">
        <v>0</v>
      </c>
      <c r="J218" s="211">
        <v>0</v>
      </c>
    </row>
    <row r="219" spans="1:10" x14ac:dyDescent="0.2">
      <c r="A219" s="137" t="s">
        <v>1788</v>
      </c>
      <c r="B219" s="137"/>
      <c r="C219" s="137"/>
      <c r="D219" s="137"/>
      <c r="E219" s="138">
        <f t="shared" ref="E219:J219" si="37">SUM(E218:E218)</f>
        <v>1200</v>
      </c>
      <c r="F219" s="138">
        <f t="shared" si="37"/>
        <v>0</v>
      </c>
      <c r="G219" s="138">
        <f t="shared" si="37"/>
        <v>0</v>
      </c>
      <c r="H219" s="138">
        <f t="shared" si="37"/>
        <v>0</v>
      </c>
      <c r="I219" s="138">
        <f t="shared" si="37"/>
        <v>0</v>
      </c>
      <c r="J219" s="138">
        <f t="shared" si="37"/>
        <v>0</v>
      </c>
    </row>
    <row r="220" spans="1:10" ht="15" customHeight="1" x14ac:dyDescent="0.2">
      <c r="A220" s="129"/>
      <c r="B220" s="129"/>
      <c r="C220" s="129"/>
      <c r="D220" s="129"/>
      <c r="E220" s="129"/>
      <c r="F220" s="129"/>
      <c r="G220" s="129"/>
      <c r="H220" s="129"/>
      <c r="I220" s="129"/>
      <c r="J220" s="129"/>
    </row>
    <row r="221" spans="1:10" x14ac:dyDescent="0.2">
      <c r="A221" s="128" t="s">
        <v>284</v>
      </c>
      <c r="B221" s="128"/>
      <c r="C221" s="128"/>
      <c r="D221" s="128"/>
      <c r="E221" s="128"/>
      <c r="F221" s="128"/>
      <c r="G221" s="128"/>
      <c r="H221" s="128"/>
      <c r="I221" s="128"/>
      <c r="J221" s="128"/>
    </row>
    <row r="222" spans="1:10" ht="33.75" x14ac:dyDescent="0.2">
      <c r="A222" s="152" t="s">
        <v>243</v>
      </c>
      <c r="B222" s="151" t="s">
        <v>242</v>
      </c>
      <c r="C222" s="151"/>
      <c r="D222" s="151"/>
      <c r="E222" s="132" t="str">
        <f t="shared" ref="E222:J222" si="38">E24</f>
        <v>Actuals           2014-2015</v>
      </c>
      <c r="F222" s="132" t="str">
        <f t="shared" si="38"/>
        <v>Approved Estimates          2015-2016</v>
      </c>
      <c r="G222" s="132" t="str">
        <f t="shared" si="38"/>
        <v>Revised Estimates                 2015-2016</v>
      </c>
      <c r="H222" s="132" t="str">
        <f t="shared" si="38"/>
        <v>Budget Estimates      2016-2017</v>
      </c>
      <c r="I222" s="132" t="str">
        <f t="shared" si="38"/>
        <v>Forward Estimates     2017-2018</v>
      </c>
      <c r="J222" s="132" t="str">
        <f t="shared" si="38"/>
        <v>Forward Estimates     2018-2019</v>
      </c>
    </row>
    <row r="223" spans="1:10" ht="15" customHeight="1" x14ac:dyDescent="0.2">
      <c r="A223" s="151" t="s">
        <v>7</v>
      </c>
      <c r="B223" s="151"/>
      <c r="C223" s="151"/>
      <c r="D223" s="151"/>
      <c r="E223" s="151"/>
      <c r="F223" s="151"/>
      <c r="G223" s="151"/>
      <c r="H223" s="151"/>
      <c r="I223" s="151"/>
      <c r="J223" s="190"/>
    </row>
    <row r="224" spans="1:10" x14ac:dyDescent="0.2">
      <c r="A224" s="207">
        <v>210</v>
      </c>
      <c r="B224" s="129" t="s">
        <v>7</v>
      </c>
      <c r="C224" s="129"/>
      <c r="D224" s="129"/>
      <c r="E224" s="211">
        <v>4110248.87</v>
      </c>
      <c r="F224" s="209">
        <v>4383700</v>
      </c>
      <c r="G224" s="211">
        <v>4160000</v>
      </c>
      <c r="H224" s="210">
        <v>4317400</v>
      </c>
      <c r="I224" s="211">
        <v>4394700</v>
      </c>
      <c r="J224" s="211">
        <v>4435700</v>
      </c>
    </row>
    <row r="225" spans="1:10" x14ac:dyDescent="0.2">
      <c r="A225" s="207">
        <v>212</v>
      </c>
      <c r="B225" s="129" t="s">
        <v>9</v>
      </c>
      <c r="C225" s="129"/>
      <c r="D225" s="129"/>
      <c r="E225" s="211">
        <v>0</v>
      </c>
      <c r="F225" s="209">
        <v>0</v>
      </c>
      <c r="G225" s="211">
        <v>0</v>
      </c>
      <c r="H225" s="210">
        <v>0</v>
      </c>
      <c r="I225" s="211">
        <v>0</v>
      </c>
      <c r="J225" s="211">
        <v>0</v>
      </c>
    </row>
    <row r="226" spans="1:10" x14ac:dyDescent="0.2">
      <c r="A226" s="207">
        <v>216</v>
      </c>
      <c r="B226" s="129" t="s">
        <v>10</v>
      </c>
      <c r="C226" s="129"/>
      <c r="D226" s="129"/>
      <c r="E226" s="211">
        <v>612814.92000000004</v>
      </c>
      <c r="F226" s="209">
        <v>610900</v>
      </c>
      <c r="G226" s="211">
        <v>570300</v>
      </c>
      <c r="H226" s="210">
        <v>649900</v>
      </c>
      <c r="I226" s="211">
        <v>639100</v>
      </c>
      <c r="J226" s="211">
        <v>639100</v>
      </c>
    </row>
    <row r="227" spans="1:10" x14ac:dyDescent="0.2">
      <c r="A227" s="207">
        <v>218</v>
      </c>
      <c r="B227" s="129" t="s">
        <v>294</v>
      </c>
      <c r="C227" s="129"/>
      <c r="D227" s="129"/>
      <c r="E227" s="211">
        <v>63552</v>
      </c>
      <c r="F227" s="209">
        <v>147400</v>
      </c>
      <c r="G227" s="211">
        <v>124100</v>
      </c>
      <c r="H227" s="210">
        <v>90000</v>
      </c>
      <c r="I227" s="211">
        <v>130000</v>
      </c>
      <c r="J227" s="211">
        <v>0</v>
      </c>
    </row>
    <row r="228" spans="1:10" ht="15" customHeight="1" x14ac:dyDescent="0.2">
      <c r="A228" s="156" t="s">
        <v>295</v>
      </c>
      <c r="B228" s="156"/>
      <c r="C228" s="156"/>
      <c r="D228" s="156"/>
      <c r="E228" s="157">
        <f t="shared" ref="E228:J228" si="39">SUM(E224:E227)</f>
        <v>4786615.79</v>
      </c>
      <c r="F228" s="157">
        <f t="shared" si="39"/>
        <v>5142000</v>
      </c>
      <c r="G228" s="157">
        <f t="shared" si="39"/>
        <v>4854400</v>
      </c>
      <c r="H228" s="157">
        <f t="shared" si="39"/>
        <v>5057300</v>
      </c>
      <c r="I228" s="157">
        <f t="shared" si="39"/>
        <v>5163800</v>
      </c>
      <c r="J228" s="157">
        <f t="shared" si="39"/>
        <v>5074800</v>
      </c>
    </row>
    <row r="229" spans="1:10" ht="15" customHeight="1" x14ac:dyDescent="0.2">
      <c r="A229" s="156" t="s">
        <v>296</v>
      </c>
      <c r="B229" s="156"/>
      <c r="C229" s="156"/>
      <c r="D229" s="156"/>
      <c r="E229" s="156"/>
      <c r="F229" s="156"/>
      <c r="G229" s="156"/>
      <c r="H229" s="156"/>
      <c r="I229" s="156"/>
      <c r="J229" s="190"/>
    </row>
    <row r="230" spans="1:10" x14ac:dyDescent="0.2">
      <c r="A230" s="207">
        <v>220</v>
      </c>
      <c r="B230" s="129" t="s">
        <v>204</v>
      </c>
      <c r="C230" s="129"/>
      <c r="D230" s="129"/>
      <c r="E230" s="211">
        <v>1982.17</v>
      </c>
      <c r="F230" s="209">
        <v>5000</v>
      </c>
      <c r="G230" s="211">
        <v>3800</v>
      </c>
      <c r="H230" s="210">
        <v>5000</v>
      </c>
      <c r="I230" s="211">
        <v>5000</v>
      </c>
      <c r="J230" s="211">
        <v>5000</v>
      </c>
    </row>
    <row r="231" spans="1:10" x14ac:dyDescent="0.2">
      <c r="A231" s="207">
        <v>224</v>
      </c>
      <c r="B231" s="129" t="s">
        <v>206</v>
      </c>
      <c r="C231" s="129"/>
      <c r="D231" s="129"/>
      <c r="E231" s="211">
        <v>128598.76</v>
      </c>
      <c r="F231" s="209">
        <v>200000</v>
      </c>
      <c r="G231" s="211">
        <v>53600</v>
      </c>
      <c r="H231" s="210">
        <v>72000</v>
      </c>
      <c r="I231" s="211">
        <v>72000</v>
      </c>
      <c r="J231" s="211">
        <v>72000</v>
      </c>
    </row>
    <row r="232" spans="1:10" x14ac:dyDescent="0.2">
      <c r="A232" s="207">
        <v>226</v>
      </c>
      <c r="B232" s="129" t="s">
        <v>207</v>
      </c>
      <c r="C232" s="129"/>
      <c r="D232" s="129"/>
      <c r="E232" s="211">
        <v>4878.38</v>
      </c>
      <c r="F232" s="209">
        <v>7000</v>
      </c>
      <c r="G232" s="211">
        <v>5200</v>
      </c>
      <c r="H232" s="210">
        <v>7000</v>
      </c>
      <c r="I232" s="211">
        <v>7000</v>
      </c>
      <c r="J232" s="211">
        <v>7000</v>
      </c>
    </row>
    <row r="233" spans="1:10" x14ac:dyDescent="0.2">
      <c r="A233" s="207">
        <v>228</v>
      </c>
      <c r="B233" s="129" t="s">
        <v>208</v>
      </c>
      <c r="C233" s="129"/>
      <c r="D233" s="129"/>
      <c r="E233" s="211">
        <v>1614970.56</v>
      </c>
      <c r="F233" s="209">
        <v>1240000</v>
      </c>
      <c r="G233" s="211">
        <v>2037900</v>
      </c>
      <c r="H233" s="210">
        <v>2063000</v>
      </c>
      <c r="I233" s="211">
        <v>2063000</v>
      </c>
      <c r="J233" s="211">
        <v>2063000</v>
      </c>
    </row>
    <row r="234" spans="1:10" x14ac:dyDescent="0.2">
      <c r="A234" s="207">
        <v>229</v>
      </c>
      <c r="B234" s="129" t="s">
        <v>209</v>
      </c>
      <c r="C234" s="129"/>
      <c r="D234" s="129"/>
      <c r="E234" s="211">
        <v>35993.72</v>
      </c>
      <c r="F234" s="209">
        <v>36000</v>
      </c>
      <c r="G234" s="211">
        <v>135800</v>
      </c>
      <c r="H234" s="210">
        <f>36000+400000</f>
        <v>436000</v>
      </c>
      <c r="I234" s="211">
        <f t="shared" ref="I234:J234" si="40">36000+400000</f>
        <v>436000</v>
      </c>
      <c r="J234" s="211">
        <f t="shared" si="40"/>
        <v>436000</v>
      </c>
    </row>
    <row r="235" spans="1:10" x14ac:dyDescent="0.2">
      <c r="A235" s="207">
        <v>230</v>
      </c>
      <c r="B235" s="129" t="s">
        <v>210</v>
      </c>
      <c r="C235" s="129"/>
      <c r="D235" s="129"/>
      <c r="E235" s="211">
        <v>21999.75</v>
      </c>
      <c r="F235" s="209">
        <v>22000</v>
      </c>
      <c r="G235" s="211">
        <v>22000</v>
      </c>
      <c r="H235" s="210">
        <v>24000</v>
      </c>
      <c r="I235" s="211">
        <v>24000</v>
      </c>
      <c r="J235" s="211">
        <v>24000</v>
      </c>
    </row>
    <row r="236" spans="1:10" x14ac:dyDescent="0.2">
      <c r="A236" s="207">
        <v>232</v>
      </c>
      <c r="B236" s="129" t="s">
        <v>211</v>
      </c>
      <c r="C236" s="129"/>
      <c r="D236" s="129"/>
      <c r="E236" s="211">
        <v>219745.36</v>
      </c>
      <c r="F236" s="209">
        <v>220000</v>
      </c>
      <c r="G236" s="211">
        <v>509900</v>
      </c>
      <c r="H236" s="210">
        <f>220000+238200</f>
        <v>458200</v>
      </c>
      <c r="I236" s="211">
        <f t="shared" ref="I236:J236" si="41">220000+238200</f>
        <v>458200</v>
      </c>
      <c r="J236" s="211">
        <f t="shared" si="41"/>
        <v>458200</v>
      </c>
    </row>
    <row r="237" spans="1:10" x14ac:dyDescent="0.2">
      <c r="A237" s="207">
        <v>236</v>
      </c>
      <c r="B237" s="129" t="s">
        <v>213</v>
      </c>
      <c r="C237" s="129"/>
      <c r="D237" s="129"/>
      <c r="E237" s="211">
        <v>159460.20000000001</v>
      </c>
      <c r="F237" s="209">
        <v>80000</v>
      </c>
      <c r="G237" s="211">
        <v>80000</v>
      </c>
      <c r="H237" s="210">
        <v>180000</v>
      </c>
      <c r="I237" s="211">
        <v>180000</v>
      </c>
      <c r="J237" s="211">
        <v>180000</v>
      </c>
    </row>
    <row r="238" spans="1:10" x14ac:dyDescent="0.2">
      <c r="A238" s="207">
        <v>246</v>
      </c>
      <c r="B238" s="129" t="s">
        <v>218</v>
      </c>
      <c r="C238" s="129"/>
      <c r="D238" s="129"/>
      <c r="E238" s="211">
        <v>14976.99</v>
      </c>
      <c r="F238" s="209">
        <v>15000</v>
      </c>
      <c r="G238" s="211">
        <v>15000</v>
      </c>
      <c r="H238" s="210">
        <v>17000</v>
      </c>
      <c r="I238" s="211">
        <v>17000</v>
      </c>
      <c r="J238" s="211">
        <v>17000</v>
      </c>
    </row>
    <row r="239" spans="1:10" x14ac:dyDescent="0.2">
      <c r="A239" s="207">
        <v>275</v>
      </c>
      <c r="B239" s="129" t="s">
        <v>228</v>
      </c>
      <c r="C239" s="129"/>
      <c r="D239" s="129"/>
      <c r="E239" s="211">
        <v>0</v>
      </c>
      <c r="F239" s="209">
        <v>5000</v>
      </c>
      <c r="G239" s="211">
        <v>5100</v>
      </c>
      <c r="H239" s="210">
        <v>6000</v>
      </c>
      <c r="I239" s="211">
        <v>6000</v>
      </c>
      <c r="J239" s="211">
        <v>6000</v>
      </c>
    </row>
    <row r="240" spans="1:10" ht="15" customHeight="1" x14ac:dyDescent="0.2">
      <c r="A240" s="156" t="s">
        <v>298</v>
      </c>
      <c r="B240" s="156"/>
      <c r="C240" s="156"/>
      <c r="D240" s="156"/>
      <c r="E240" s="157">
        <f t="shared" ref="E240:J240" si="42">SUM(E230:E239)</f>
        <v>2202605.8900000006</v>
      </c>
      <c r="F240" s="157">
        <f t="shared" si="42"/>
        <v>1830000</v>
      </c>
      <c r="G240" s="157">
        <f t="shared" si="42"/>
        <v>2868300</v>
      </c>
      <c r="H240" s="157">
        <f t="shared" si="42"/>
        <v>3268200</v>
      </c>
      <c r="I240" s="157">
        <f t="shared" si="42"/>
        <v>3268200</v>
      </c>
      <c r="J240" s="157">
        <f t="shared" si="42"/>
        <v>3268200</v>
      </c>
    </row>
    <row r="241" spans="1:10" ht="15" customHeight="1" x14ac:dyDescent="0.2">
      <c r="A241" s="159" t="s">
        <v>299</v>
      </c>
      <c r="B241" s="159"/>
      <c r="C241" s="159"/>
      <c r="D241" s="159"/>
      <c r="E241" s="160">
        <f t="shared" ref="E241:J241" si="43">SUM(E228,E240)</f>
        <v>6989221.6800000006</v>
      </c>
      <c r="F241" s="160">
        <f t="shared" si="43"/>
        <v>6972000</v>
      </c>
      <c r="G241" s="160">
        <f t="shared" si="43"/>
        <v>7722700</v>
      </c>
      <c r="H241" s="160">
        <f t="shared" si="43"/>
        <v>8325500</v>
      </c>
      <c r="I241" s="160">
        <f t="shared" si="43"/>
        <v>8432000</v>
      </c>
      <c r="J241" s="160">
        <f t="shared" si="43"/>
        <v>8343000</v>
      </c>
    </row>
    <row r="242" spans="1:10" ht="15" customHeight="1" x14ac:dyDescent="0.2">
      <c r="A242" s="129"/>
      <c r="B242" s="129"/>
      <c r="C242" s="129"/>
      <c r="D242" s="129"/>
      <c r="E242" s="129"/>
      <c r="F242" s="129"/>
      <c r="G242" s="129"/>
      <c r="H242" s="129"/>
      <c r="I242" s="129"/>
      <c r="J242" s="190"/>
    </row>
    <row r="243" spans="1:10" ht="18" customHeight="1" x14ac:dyDescent="0.2">
      <c r="A243" s="162" t="s">
        <v>15</v>
      </c>
      <c r="B243" s="162"/>
      <c r="C243" s="162"/>
      <c r="D243" s="162"/>
      <c r="E243" s="162"/>
      <c r="F243" s="162"/>
      <c r="G243" s="162"/>
      <c r="H243" s="162"/>
      <c r="I243" s="162"/>
      <c r="J243" s="162"/>
    </row>
    <row r="244" spans="1:10" ht="18.75" customHeight="1" x14ac:dyDescent="0.2">
      <c r="A244" s="131" t="s">
        <v>242</v>
      </c>
      <c r="B244" s="131"/>
      <c r="C244" s="131"/>
      <c r="D244" s="131"/>
      <c r="E244" s="128" t="str">
        <f t="shared" ref="E244:J244" si="44">E24</f>
        <v>Actuals           2014-2015</v>
      </c>
      <c r="F244" s="128" t="str">
        <f t="shared" si="44"/>
        <v>Approved Estimates          2015-2016</v>
      </c>
      <c r="G244" s="128" t="str">
        <f t="shared" si="44"/>
        <v>Revised Estimates                 2015-2016</v>
      </c>
      <c r="H244" s="128" t="str">
        <f t="shared" si="44"/>
        <v>Budget Estimates      2016-2017</v>
      </c>
      <c r="I244" s="128" t="str">
        <f t="shared" si="44"/>
        <v>Forward Estimates     2017-2018</v>
      </c>
      <c r="J244" s="128" t="str">
        <f t="shared" si="44"/>
        <v>Forward Estimates     2018-2019</v>
      </c>
    </row>
    <row r="245" spans="1:10" ht="15" customHeight="1" x14ac:dyDescent="0.2">
      <c r="A245" s="130" t="s">
        <v>243</v>
      </c>
      <c r="B245" s="130" t="s">
        <v>244</v>
      </c>
      <c r="C245" s="131" t="s">
        <v>245</v>
      </c>
      <c r="D245" s="131"/>
      <c r="E245" s="101"/>
      <c r="F245" s="101"/>
      <c r="G245" s="101"/>
      <c r="H245" s="101"/>
      <c r="I245" s="101"/>
      <c r="J245" s="101"/>
    </row>
    <row r="246" spans="1:10" x14ac:dyDescent="0.2">
      <c r="A246" s="163"/>
      <c r="B246" s="163"/>
      <c r="C246" s="156"/>
      <c r="D246" s="156"/>
      <c r="E246" s="158"/>
      <c r="F246" s="209"/>
      <c r="G246" s="158"/>
      <c r="H246" s="136"/>
      <c r="I246" s="158"/>
      <c r="J246" s="135"/>
    </row>
    <row r="247" spans="1:10" x14ac:dyDescent="0.2">
      <c r="A247" s="163"/>
      <c r="B247" s="163"/>
      <c r="C247" s="156"/>
      <c r="D247" s="156"/>
      <c r="E247" s="158"/>
      <c r="F247" s="209"/>
      <c r="G247" s="158"/>
      <c r="H247" s="136"/>
      <c r="I247" s="158"/>
      <c r="J247" s="135"/>
    </row>
    <row r="248" spans="1:10" ht="15" customHeight="1" x14ac:dyDescent="0.2">
      <c r="A248" s="137" t="s">
        <v>15</v>
      </c>
      <c r="B248" s="137"/>
      <c r="C248" s="137"/>
      <c r="D248" s="137"/>
      <c r="E248" s="138">
        <v>0</v>
      </c>
      <c r="F248" s="138">
        <v>0</v>
      </c>
      <c r="G248" s="138">
        <v>0</v>
      </c>
      <c r="H248" s="138">
        <v>0</v>
      </c>
      <c r="I248" s="138">
        <v>0</v>
      </c>
      <c r="J248" s="138">
        <v>0</v>
      </c>
    </row>
    <row r="249" spans="1:10" ht="15" customHeight="1" x14ac:dyDescent="0.2">
      <c r="A249" s="290"/>
      <c r="B249" s="290"/>
      <c r="C249" s="290"/>
      <c r="D249" s="290"/>
      <c r="E249" s="290"/>
      <c r="F249" s="290"/>
      <c r="G249" s="290"/>
      <c r="H249" s="290"/>
      <c r="I249" s="290"/>
      <c r="J249" s="290"/>
    </row>
    <row r="250" spans="1:10" x14ac:dyDescent="0.2">
      <c r="A250" s="161" t="s">
        <v>288</v>
      </c>
      <c r="B250" s="161"/>
      <c r="C250" s="161"/>
      <c r="D250" s="161"/>
      <c r="E250" s="161"/>
      <c r="F250" s="161"/>
      <c r="G250" s="161"/>
      <c r="H250" s="161"/>
      <c r="I250" s="161"/>
      <c r="J250" s="161"/>
    </row>
    <row r="251" spans="1:10" x14ac:dyDescent="0.2">
      <c r="A251" s="131" t="s">
        <v>300</v>
      </c>
      <c r="B251" s="131"/>
      <c r="C251" s="131"/>
      <c r="D251" s="132" t="s">
        <v>301</v>
      </c>
      <c r="E251" s="132" t="s">
        <v>302</v>
      </c>
      <c r="F251" s="131" t="s">
        <v>300</v>
      </c>
      <c r="G251" s="131"/>
      <c r="H251" s="131"/>
      <c r="I251" s="132" t="s">
        <v>301</v>
      </c>
      <c r="J251" s="132" t="s">
        <v>302</v>
      </c>
    </row>
    <row r="252" spans="1:10" ht="15" customHeight="1" x14ac:dyDescent="0.2">
      <c r="A252" s="134" t="str">
        <f>Establishment!D630</f>
        <v>Chief Medical Officer/Director</v>
      </c>
      <c r="B252" s="134"/>
      <c r="C252" s="134"/>
      <c r="D252" s="133" t="str">
        <f>Establishment!E630</f>
        <v>R2</v>
      </c>
      <c r="E252" s="133">
        <f>Establishment!C630</f>
        <v>1</v>
      </c>
      <c r="F252" s="134" t="str">
        <f>Establishment!D652</f>
        <v>Clerical Officer (Snr)</v>
      </c>
      <c r="G252" s="134"/>
      <c r="H252" s="134"/>
      <c r="I252" s="133" t="str">
        <f>Establishment!E652</f>
        <v>R33-29</v>
      </c>
      <c r="J252" s="133">
        <f>Establishment!C652</f>
        <v>2</v>
      </c>
    </row>
    <row r="253" spans="1:10" ht="15" customHeight="1" x14ac:dyDescent="0.2">
      <c r="A253" s="134" t="str">
        <f>Establishment!D631</f>
        <v>Surgeon Specialist</v>
      </c>
      <c r="B253" s="134"/>
      <c r="C253" s="134"/>
      <c r="D253" s="133" t="str">
        <f>Establishment!E631</f>
        <v>R3</v>
      </c>
      <c r="E253" s="133">
        <f>Establishment!C631</f>
        <v>1</v>
      </c>
      <c r="F253" s="134" t="str">
        <f>Establishment!D653</f>
        <v>Clerical Officer</v>
      </c>
      <c r="G253" s="134"/>
      <c r="H253" s="134"/>
      <c r="I253" s="133" t="str">
        <f>Establishment!E653</f>
        <v>R46-34</v>
      </c>
      <c r="J253" s="133">
        <f>Establishment!C653</f>
        <v>2</v>
      </c>
    </row>
    <row r="254" spans="1:10" ht="15" customHeight="1" x14ac:dyDescent="0.2">
      <c r="A254" s="134" t="str">
        <f>Establishment!D632</f>
        <v>Physician Specialist</v>
      </c>
      <c r="B254" s="134"/>
      <c r="C254" s="134"/>
      <c r="D254" s="133" t="str">
        <f>Establishment!E632</f>
        <v>R12-8/6</v>
      </c>
      <c r="E254" s="133">
        <f>Establishment!C632</f>
        <v>1</v>
      </c>
      <c r="F254" s="134" t="str">
        <f>Establishment!D654</f>
        <v>Radiographic Assistant</v>
      </c>
      <c r="G254" s="134"/>
      <c r="H254" s="134"/>
      <c r="I254" s="133" t="str">
        <f>Establishment!E654</f>
        <v>R46-34</v>
      </c>
      <c r="J254" s="133">
        <f>Establishment!C654</f>
        <v>1</v>
      </c>
    </row>
    <row r="255" spans="1:10" ht="15" customHeight="1" x14ac:dyDescent="0.2">
      <c r="A255" s="134" t="str">
        <f>Establishment!D633</f>
        <v>Medical Officer</v>
      </c>
      <c r="B255" s="134"/>
      <c r="C255" s="134"/>
      <c r="D255" s="133" t="str">
        <f>Establishment!E633</f>
        <v>R12-8/6</v>
      </c>
      <c r="E255" s="133">
        <f>Establishment!C633</f>
        <v>2</v>
      </c>
      <c r="F255" s="134" t="str">
        <f>Establishment!D655</f>
        <v>Supervisor of Housekeeping</v>
      </c>
      <c r="G255" s="134"/>
      <c r="H255" s="134"/>
      <c r="I255" s="133" t="str">
        <f>Establishment!E655</f>
        <v>R33-29</v>
      </c>
      <c r="J255" s="133">
        <f>Establishment!C655</f>
        <v>1</v>
      </c>
    </row>
    <row r="256" spans="1:10" ht="15" customHeight="1" x14ac:dyDescent="0.2">
      <c r="A256" s="134" t="str">
        <f>Establishment!D634</f>
        <v>Secondary Care Manager</v>
      </c>
      <c r="B256" s="134"/>
      <c r="C256" s="134"/>
      <c r="D256" s="133" t="str">
        <f>Establishment!E634</f>
        <v>R12-8</v>
      </c>
      <c r="E256" s="133">
        <f>Establishment!C634</f>
        <v>1</v>
      </c>
      <c r="F256" s="134" t="str">
        <f>Establishment!D656</f>
        <v>Health Information Officer (Snr)</v>
      </c>
      <c r="G256" s="134"/>
      <c r="H256" s="134"/>
      <c r="I256" s="133" t="str">
        <f>Establishment!E656</f>
        <v>R22-16</v>
      </c>
      <c r="J256" s="133">
        <f>Establishment!C656</f>
        <v>1</v>
      </c>
    </row>
    <row r="257" spans="1:10" ht="15" customHeight="1" x14ac:dyDescent="0.2">
      <c r="A257" s="134" t="str">
        <f>Establishment!D635</f>
        <v>Principal Nursing Officer</v>
      </c>
      <c r="B257" s="134"/>
      <c r="C257" s="134"/>
      <c r="D257" s="133" t="str">
        <f>Establishment!E635</f>
        <v>R14-10</v>
      </c>
      <c r="E257" s="133">
        <f>Establishment!C635</f>
        <v>1</v>
      </c>
      <c r="F257" s="134" t="str">
        <f>Establishment!D657</f>
        <v>Health Information Officer</v>
      </c>
      <c r="G257" s="134"/>
      <c r="H257" s="134"/>
      <c r="I257" s="133" t="str">
        <f>Establishment!E657</f>
        <v>R28-22</v>
      </c>
      <c r="J257" s="133">
        <f>Establishment!C657</f>
        <v>1</v>
      </c>
    </row>
    <row r="258" spans="1:10" ht="15" customHeight="1" x14ac:dyDescent="0.2">
      <c r="A258" s="134" t="str">
        <f>Establishment!D636</f>
        <v>Hospital Nursing Manager</v>
      </c>
      <c r="B258" s="134"/>
      <c r="C258" s="134"/>
      <c r="D258" s="133" t="str">
        <f>Establishment!E636</f>
        <v>R20-16/17-13</v>
      </c>
      <c r="E258" s="133">
        <f>Establishment!C636</f>
        <v>1</v>
      </c>
      <c r="F258" s="134" t="str">
        <f>Establishment!D658</f>
        <v>Maintenance Assistant</v>
      </c>
      <c r="G258" s="134"/>
      <c r="H258" s="134"/>
      <c r="I258" s="133" t="str">
        <f>Establishment!E658</f>
        <v>R28-22</v>
      </c>
      <c r="J258" s="133">
        <f>Establishment!C658</f>
        <v>1</v>
      </c>
    </row>
    <row r="259" spans="1:10" ht="15" customHeight="1" x14ac:dyDescent="0.2">
      <c r="A259" s="134" t="str">
        <f>Establishment!D637</f>
        <v>Nurse Tutor</v>
      </c>
      <c r="B259" s="134"/>
      <c r="C259" s="134"/>
      <c r="D259" s="133" t="str">
        <f>Establishment!E637</f>
        <v>R20-16</v>
      </c>
      <c r="E259" s="133">
        <f>Establishment!C637</f>
        <v>1</v>
      </c>
      <c r="F259" s="134" t="str">
        <f>Establishment!D659</f>
        <v>Head Cook</v>
      </c>
      <c r="G259" s="134"/>
      <c r="H259" s="134"/>
      <c r="I259" s="133" t="str">
        <f>Establishment!E659</f>
        <v>R38-31</v>
      </c>
      <c r="J259" s="133">
        <f>Establishment!C659</f>
        <v>2</v>
      </c>
    </row>
    <row r="260" spans="1:10" ht="15" customHeight="1" x14ac:dyDescent="0.2">
      <c r="A260" s="134" t="str">
        <f>Establishment!D638</f>
        <v>Nurse Anesthetist</v>
      </c>
      <c r="B260" s="134"/>
      <c r="C260" s="134"/>
      <c r="D260" s="133" t="str">
        <f>Establishment!E638</f>
        <v>R22-18</v>
      </c>
      <c r="E260" s="133">
        <f>Establishment!C638</f>
        <v>1</v>
      </c>
      <c r="F260" s="134" t="str">
        <f>Establishment!D660</f>
        <v>Diet Clerk/Storekeeper</v>
      </c>
      <c r="G260" s="134"/>
      <c r="H260" s="134"/>
      <c r="I260" s="133" t="str">
        <f>Establishment!E660</f>
        <v>R48-38</v>
      </c>
      <c r="J260" s="133">
        <f>Establishment!C660</f>
        <v>1</v>
      </c>
    </row>
    <row r="261" spans="1:10" ht="15" customHeight="1" x14ac:dyDescent="0.2">
      <c r="A261" s="134" t="str">
        <f>Establishment!D639</f>
        <v>Dietetics Technician</v>
      </c>
      <c r="B261" s="134"/>
      <c r="C261" s="134"/>
      <c r="D261" s="133" t="str">
        <f>Establishment!E639</f>
        <v>R28-22</v>
      </c>
      <c r="E261" s="133">
        <f>Establishment!C639</f>
        <v>1</v>
      </c>
      <c r="F261" s="134" t="str">
        <f>Establishment!D661</f>
        <v>Cook</v>
      </c>
      <c r="G261" s="134"/>
      <c r="H261" s="134"/>
      <c r="I261" s="133" t="str">
        <f>Establishment!E661</f>
        <v>R48-38</v>
      </c>
      <c r="J261" s="133">
        <f>Establishment!C661</f>
        <v>4</v>
      </c>
    </row>
    <row r="262" spans="1:10" ht="15" customHeight="1" x14ac:dyDescent="0.2">
      <c r="A262" s="134" t="str">
        <f>Establishment!D640</f>
        <v>Ward Sister</v>
      </c>
      <c r="B262" s="134"/>
      <c r="C262" s="134"/>
      <c r="D262" s="133" t="str">
        <f>Establishment!E640</f>
        <v>R24-20</v>
      </c>
      <c r="E262" s="133">
        <f>Establishment!C640</f>
        <v>3</v>
      </c>
      <c r="F262" s="134" t="str">
        <f>Establishment!D662</f>
        <v>Assistant Storekeeper</v>
      </c>
      <c r="G262" s="134"/>
      <c r="H262" s="134"/>
      <c r="I262" s="133" t="str">
        <f>Establishment!E662</f>
        <v>R48-38</v>
      </c>
      <c r="J262" s="133">
        <f>Establishment!C662</f>
        <v>1</v>
      </c>
    </row>
    <row r="263" spans="1:10" ht="15" customHeight="1" x14ac:dyDescent="0.2">
      <c r="A263" s="134" t="str">
        <f>Establishment!D641</f>
        <v>Charge Nurse/Home Manager</v>
      </c>
      <c r="B263" s="134"/>
      <c r="C263" s="134"/>
      <c r="D263" s="133" t="str">
        <f>Establishment!E641</f>
        <v>R24-20</v>
      </c>
      <c r="E263" s="133">
        <f>Establishment!C641</f>
        <v>1</v>
      </c>
      <c r="F263" s="134" t="str">
        <f>Establishment!D663</f>
        <v>Cook's Assistant</v>
      </c>
      <c r="G263" s="134"/>
      <c r="H263" s="134"/>
      <c r="I263" s="133" t="str">
        <f>Establishment!E663</f>
        <v>R51-45</v>
      </c>
      <c r="J263" s="133">
        <f>Establishment!C663</f>
        <v>3</v>
      </c>
    </row>
    <row r="264" spans="1:10" ht="15" customHeight="1" x14ac:dyDescent="0.2">
      <c r="A264" s="134" t="str">
        <f>Establishment!D642</f>
        <v>Staff/District Nurse</v>
      </c>
      <c r="B264" s="134"/>
      <c r="C264" s="134"/>
      <c r="D264" s="133" t="str">
        <f>Establishment!E642</f>
        <v>R28-22</v>
      </c>
      <c r="E264" s="133">
        <f>Establishment!C642</f>
        <v>8</v>
      </c>
      <c r="F264" s="134" t="str">
        <f>Establishment!D664</f>
        <v>Maid</v>
      </c>
      <c r="G264" s="134"/>
      <c r="H264" s="134"/>
      <c r="I264" s="133" t="str">
        <f>Establishment!E664</f>
        <v>R51-45</v>
      </c>
      <c r="J264" s="133">
        <f>Establishment!C664</f>
        <v>19</v>
      </c>
    </row>
    <row r="265" spans="1:10" ht="15" customHeight="1" x14ac:dyDescent="0.2">
      <c r="A265" s="134" t="str">
        <f>Establishment!D643</f>
        <v>Graduate/Registered Nurse</v>
      </c>
      <c r="B265" s="134"/>
      <c r="C265" s="134"/>
      <c r="D265" s="133" t="str">
        <f>Establishment!E643</f>
        <v>R37-35/32-30</v>
      </c>
      <c r="E265" s="133">
        <f>Establishment!C643</f>
        <v>9</v>
      </c>
      <c r="F265" s="134" t="str">
        <f>Establishment!D665</f>
        <v>Washer</v>
      </c>
      <c r="G265" s="134"/>
      <c r="H265" s="134"/>
      <c r="I265" s="133" t="str">
        <f>Establishment!E665</f>
        <v>R51-45</v>
      </c>
      <c r="J265" s="133">
        <f>Establishment!C665</f>
        <v>5</v>
      </c>
    </row>
    <row r="266" spans="1:10" ht="15" customHeight="1" x14ac:dyDescent="0.2">
      <c r="A266" s="134" t="str">
        <f>Establishment!D644</f>
        <v>Enrolled Nursing Assistant (Snr)</v>
      </c>
      <c r="B266" s="134"/>
      <c r="C266" s="134"/>
      <c r="D266" s="133" t="str">
        <f>Establishment!E644</f>
        <v>R33-31</v>
      </c>
      <c r="E266" s="133">
        <f>Establishment!C644</f>
        <v>2</v>
      </c>
      <c r="F266" s="134" t="str">
        <f>Establishment!D666</f>
        <v>Geriatric Aide</v>
      </c>
      <c r="G266" s="134"/>
      <c r="H266" s="134"/>
      <c r="I266" s="133" t="str">
        <f>Establishment!E666</f>
        <v>R51-45</v>
      </c>
      <c r="J266" s="133">
        <f>Establishment!C666</f>
        <v>27</v>
      </c>
    </row>
    <row r="267" spans="1:10" ht="15" customHeight="1" x14ac:dyDescent="0.2">
      <c r="A267" s="134" t="str">
        <f>Establishment!D645</f>
        <v>Enrolled Nursing Assistant</v>
      </c>
      <c r="B267" s="134"/>
      <c r="C267" s="134"/>
      <c r="D267" s="133" t="str">
        <f>Establishment!E645</f>
        <v>R46-34/39-34</v>
      </c>
      <c r="E267" s="133">
        <f>Establishment!C645</f>
        <v>8</v>
      </c>
      <c r="F267" s="134" t="str">
        <f>Establishment!D667</f>
        <v>Geriatric Aide (Snr)</v>
      </c>
      <c r="G267" s="134"/>
      <c r="H267" s="134"/>
      <c r="I267" s="133" t="str">
        <f>Establishment!E667</f>
        <v>R48-38</v>
      </c>
      <c r="J267" s="133">
        <f>Establishment!C667</f>
        <v>1</v>
      </c>
    </row>
    <row r="268" spans="1:10" ht="15" customHeight="1" x14ac:dyDescent="0.2">
      <c r="A268" s="134" t="str">
        <f>Establishment!D646</f>
        <v>Pharmacist (Snr)</v>
      </c>
      <c r="B268" s="134"/>
      <c r="C268" s="134"/>
      <c r="D268" s="133" t="str">
        <f>Establishment!E646</f>
        <v>R22-16</v>
      </c>
      <c r="E268" s="133">
        <f>Establishment!C646</f>
        <v>1</v>
      </c>
      <c r="F268" s="134" t="str">
        <f>Establishment!D668</f>
        <v>Facilities Manager</v>
      </c>
      <c r="G268" s="134"/>
      <c r="H268" s="134"/>
      <c r="I268" s="133" t="str">
        <f>Establishment!E668</f>
        <v>R28-22</v>
      </c>
      <c r="J268" s="133">
        <f>Establishment!C668</f>
        <v>1</v>
      </c>
    </row>
    <row r="269" spans="1:10" ht="15" customHeight="1" x14ac:dyDescent="0.2">
      <c r="A269" s="134" t="str">
        <f>Establishment!D647</f>
        <v>Pharmacist</v>
      </c>
      <c r="B269" s="134"/>
      <c r="C269" s="134"/>
      <c r="D269" s="133" t="str">
        <f>Establishment!E647</f>
        <v>R28-22</v>
      </c>
      <c r="E269" s="133">
        <f>Establishment!C647</f>
        <v>2</v>
      </c>
      <c r="F269" s="134" t="str">
        <f>Establishment!D669</f>
        <v>Driver</v>
      </c>
      <c r="G269" s="134"/>
      <c r="H269" s="134"/>
      <c r="I269" s="133" t="str">
        <f>Establishment!E669</f>
        <v>R48-38</v>
      </c>
      <c r="J269" s="133">
        <f>Establishment!C669</f>
        <v>5</v>
      </c>
    </row>
    <row r="270" spans="1:10" ht="15" customHeight="1" x14ac:dyDescent="0.2">
      <c r="A270" s="134" t="str">
        <f>Establishment!D648</f>
        <v>Lab Technologist (Snr)</v>
      </c>
      <c r="B270" s="134"/>
      <c r="C270" s="134"/>
      <c r="D270" s="133" t="str">
        <f>Establishment!E648</f>
        <v>R22-16</v>
      </c>
      <c r="E270" s="133">
        <f>Establishment!C648</f>
        <v>1</v>
      </c>
      <c r="F270" s="134" t="str">
        <f>Establishment!D670</f>
        <v>Orderly</v>
      </c>
      <c r="G270" s="134"/>
      <c r="H270" s="134"/>
      <c r="I270" s="133" t="str">
        <f>Establishment!E670</f>
        <v>R48-38</v>
      </c>
      <c r="J270" s="133">
        <f>Establishment!C670</f>
        <v>6</v>
      </c>
    </row>
    <row r="271" spans="1:10" ht="15" customHeight="1" x14ac:dyDescent="0.2">
      <c r="A271" s="134" t="str">
        <f>Establishment!D649</f>
        <v>Lab Technologist</v>
      </c>
      <c r="B271" s="134"/>
      <c r="C271" s="134"/>
      <c r="D271" s="133" t="str">
        <f>Establishment!E649</f>
        <v>R28-22</v>
      </c>
      <c r="E271" s="133">
        <f>Establishment!C649</f>
        <v>3</v>
      </c>
      <c r="F271" s="134" t="str">
        <f>Establishment!D671</f>
        <v>Seamstress</v>
      </c>
      <c r="G271" s="134"/>
      <c r="H271" s="134"/>
      <c r="I271" s="133" t="str">
        <f>Establishment!E671</f>
        <v>R39-36</v>
      </c>
      <c r="J271" s="133">
        <f>Establishment!C671</f>
        <v>1</v>
      </c>
    </row>
    <row r="272" spans="1:10" ht="15" customHeight="1" x14ac:dyDescent="0.2">
      <c r="A272" s="134" t="str">
        <f>Establishment!D650</f>
        <v>Radiographer</v>
      </c>
      <c r="B272" s="134"/>
      <c r="C272" s="134"/>
      <c r="D272" s="133" t="str">
        <f>Establishment!E650</f>
        <v>R28-22/22-16</v>
      </c>
      <c r="E272" s="133">
        <f>Establishment!C650</f>
        <v>1</v>
      </c>
      <c r="F272" s="134" t="str">
        <f>Establishment!D674</f>
        <v>Driver</v>
      </c>
      <c r="G272" s="134"/>
      <c r="H272" s="134"/>
      <c r="I272" s="133" t="str">
        <f>Establishment!E674</f>
        <v>R45</v>
      </c>
      <c r="J272" s="133">
        <f>Establishment!C674</f>
        <v>1</v>
      </c>
    </row>
    <row r="273" spans="1:10" ht="15" customHeight="1" x14ac:dyDescent="0.2">
      <c r="A273" s="134" t="str">
        <f>Establishment!D651</f>
        <v>Nutrition Officer</v>
      </c>
      <c r="B273" s="134"/>
      <c r="C273" s="134"/>
      <c r="D273" s="133" t="str">
        <f>Establishment!E651</f>
        <v>R22-16</v>
      </c>
      <c r="E273" s="133">
        <f>Establishment!C651</f>
        <v>1</v>
      </c>
      <c r="F273" s="134"/>
      <c r="G273" s="134"/>
      <c r="H273" s="134"/>
      <c r="I273" s="133"/>
      <c r="J273" s="133"/>
    </row>
    <row r="274" spans="1:10" ht="15" customHeight="1" x14ac:dyDescent="0.2">
      <c r="A274" s="203" t="s">
        <v>303</v>
      </c>
      <c r="B274" s="203"/>
      <c r="C274" s="203"/>
      <c r="D274" s="203"/>
      <c r="E274" s="203"/>
      <c r="F274" s="203"/>
      <c r="G274" s="203"/>
      <c r="H274" s="203"/>
      <c r="I274" s="203"/>
      <c r="J274" s="204">
        <f>SUM(E252:E273,J252:J273)</f>
        <v>137</v>
      </c>
    </row>
    <row r="275" spans="1:10" ht="15" customHeight="1" x14ac:dyDescent="0.2">
      <c r="A275" s="129"/>
      <c r="B275" s="129"/>
      <c r="C275" s="129"/>
      <c r="D275" s="129"/>
      <c r="E275" s="129"/>
      <c r="F275" s="129"/>
      <c r="G275" s="129"/>
      <c r="H275" s="129"/>
      <c r="I275" s="129"/>
      <c r="J275" s="129"/>
    </row>
    <row r="276" spans="1:10" ht="15" customHeight="1" x14ac:dyDescent="0.2">
      <c r="A276" s="180" t="s">
        <v>304</v>
      </c>
      <c r="B276" s="180"/>
      <c r="C276" s="180"/>
      <c r="D276" s="180"/>
      <c r="E276" s="180"/>
      <c r="F276" s="180"/>
      <c r="G276" s="180"/>
      <c r="H276" s="180"/>
      <c r="I276" s="180"/>
      <c r="J276" s="180"/>
    </row>
    <row r="277" spans="1:10" ht="15" customHeight="1" x14ac:dyDescent="0.2">
      <c r="A277" s="181" t="s">
        <v>305</v>
      </c>
      <c r="B277" s="181"/>
      <c r="C277" s="181"/>
      <c r="D277" s="181"/>
      <c r="E277" s="181"/>
      <c r="F277" s="181"/>
      <c r="G277" s="181"/>
      <c r="H277" s="181"/>
      <c r="I277" s="181"/>
      <c r="J277" s="181"/>
    </row>
    <row r="278" spans="1:10" ht="24" customHeight="1" x14ac:dyDescent="0.2">
      <c r="A278" s="129" t="s">
        <v>1863</v>
      </c>
      <c r="B278" s="129"/>
      <c r="C278" s="129"/>
      <c r="D278" s="129"/>
      <c r="E278" s="129"/>
      <c r="F278" s="129"/>
      <c r="G278" s="129"/>
      <c r="H278" s="129"/>
      <c r="I278" s="129"/>
      <c r="J278" s="129"/>
    </row>
    <row r="279" spans="1:10" ht="24" customHeight="1" x14ac:dyDescent="0.2">
      <c r="A279" s="129" t="s">
        <v>1864</v>
      </c>
      <c r="B279" s="129"/>
      <c r="C279" s="129"/>
      <c r="D279" s="129"/>
      <c r="E279" s="129"/>
      <c r="F279" s="129"/>
      <c r="G279" s="129"/>
      <c r="H279" s="129"/>
      <c r="I279" s="129"/>
      <c r="J279" s="129"/>
    </row>
    <row r="280" spans="1:10" ht="24" customHeight="1" x14ac:dyDescent="0.2">
      <c r="A280" s="129" t="s">
        <v>1865</v>
      </c>
      <c r="B280" s="129"/>
      <c r="C280" s="129"/>
      <c r="D280" s="129"/>
      <c r="E280" s="129"/>
      <c r="F280" s="129"/>
      <c r="G280" s="129"/>
      <c r="H280" s="129"/>
      <c r="I280" s="129"/>
      <c r="J280" s="129"/>
    </row>
    <row r="281" spans="1:10" x14ac:dyDescent="0.2">
      <c r="A281" s="129" t="s">
        <v>1866</v>
      </c>
      <c r="B281" s="129"/>
      <c r="C281" s="129"/>
      <c r="D281" s="129"/>
      <c r="E281" s="129"/>
      <c r="F281" s="129"/>
      <c r="G281" s="129"/>
      <c r="H281" s="129"/>
      <c r="I281" s="129"/>
      <c r="J281" s="129"/>
    </row>
    <row r="282" spans="1:10" ht="24" customHeight="1" x14ac:dyDescent="0.2">
      <c r="A282" s="129" t="s">
        <v>1867</v>
      </c>
      <c r="B282" s="129"/>
      <c r="C282" s="129"/>
      <c r="D282" s="129"/>
      <c r="E282" s="129"/>
      <c r="F282" s="129"/>
      <c r="G282" s="129"/>
      <c r="H282" s="129"/>
      <c r="I282" s="129"/>
      <c r="J282" s="129"/>
    </row>
    <row r="283" spans="1:10" ht="15" customHeight="1" x14ac:dyDescent="0.2">
      <c r="A283" s="129"/>
      <c r="B283" s="129"/>
      <c r="C283" s="129"/>
      <c r="D283" s="129"/>
      <c r="E283" s="129"/>
      <c r="F283" s="129"/>
      <c r="G283" s="129"/>
      <c r="H283" s="129"/>
      <c r="I283" s="129"/>
      <c r="J283" s="129"/>
    </row>
    <row r="284" spans="1:10" ht="15" customHeight="1" x14ac:dyDescent="0.2">
      <c r="A284" s="183" t="s">
        <v>415</v>
      </c>
      <c r="B284" s="183"/>
      <c r="C284" s="183"/>
      <c r="D284" s="183"/>
      <c r="E284" s="183"/>
      <c r="F284" s="183"/>
      <c r="G284" s="183"/>
      <c r="H284" s="183"/>
      <c r="I284" s="183"/>
      <c r="J284" s="183"/>
    </row>
    <row r="285" spans="1:10" ht="15" customHeight="1" x14ac:dyDescent="0.2">
      <c r="A285" s="129"/>
      <c r="B285" s="129"/>
      <c r="C285" s="129"/>
      <c r="D285" s="129"/>
      <c r="E285" s="129"/>
      <c r="F285" s="129"/>
      <c r="G285" s="129"/>
      <c r="H285" s="129"/>
      <c r="I285" s="129"/>
      <c r="J285" s="129"/>
    </row>
    <row r="286" spans="1:10" ht="15" customHeight="1" x14ac:dyDescent="0.2">
      <c r="A286" s="129"/>
      <c r="B286" s="129"/>
      <c r="C286" s="129"/>
      <c r="D286" s="129"/>
      <c r="E286" s="129"/>
      <c r="F286" s="129"/>
      <c r="G286" s="129"/>
      <c r="H286" s="129"/>
      <c r="I286" s="129"/>
      <c r="J286" s="129"/>
    </row>
    <row r="287" spans="1:10" ht="22.5" x14ac:dyDescent="0.2">
      <c r="A287" s="180" t="s">
        <v>315</v>
      </c>
      <c r="B287" s="180"/>
      <c r="C287" s="180"/>
      <c r="D287" s="180"/>
      <c r="E287" s="180"/>
      <c r="F287" s="184" t="str">
        <f>F195</f>
        <v xml:space="preserve"> Actual 2013/14</v>
      </c>
      <c r="G287" s="184" t="str">
        <f>G195</f>
        <v xml:space="preserve"> Estimate 2014/15</v>
      </c>
      <c r="H287" s="184" t="str">
        <f>H195</f>
        <v xml:space="preserve"> Target 2015/16</v>
      </c>
      <c r="I287" s="184" t="str">
        <f>I195</f>
        <v xml:space="preserve"> Target 2016/17</v>
      </c>
      <c r="J287" s="184" t="str">
        <f>J195</f>
        <v xml:space="preserve"> Target 2017/18</v>
      </c>
    </row>
    <row r="288" spans="1:10" x14ac:dyDescent="0.2">
      <c r="A288" s="180" t="s">
        <v>316</v>
      </c>
      <c r="B288" s="180"/>
      <c r="C288" s="180"/>
      <c r="D288" s="180"/>
      <c r="E288" s="180"/>
      <c r="F288" s="180"/>
      <c r="G288" s="180"/>
      <c r="H288" s="180"/>
      <c r="I288" s="180"/>
      <c r="J288" s="180"/>
    </row>
    <row r="289" spans="1:10" ht="112.5" x14ac:dyDescent="0.2">
      <c r="A289" s="516" t="s">
        <v>1868</v>
      </c>
      <c r="B289" s="516"/>
      <c r="C289" s="516"/>
      <c r="D289" s="516"/>
      <c r="E289" s="516"/>
      <c r="F289" s="517" t="s">
        <v>1812</v>
      </c>
      <c r="G289" s="518" t="s">
        <v>1869</v>
      </c>
      <c r="H289" s="518" t="s">
        <v>1870</v>
      </c>
      <c r="I289" s="519" t="s">
        <v>651</v>
      </c>
      <c r="J289" s="519" t="s">
        <v>651</v>
      </c>
    </row>
    <row r="290" spans="1:10" ht="67.5" x14ac:dyDescent="0.2">
      <c r="A290" s="516" t="s">
        <v>1871</v>
      </c>
      <c r="B290" s="516"/>
      <c r="C290" s="516"/>
      <c r="D290" s="516"/>
      <c r="E290" s="516"/>
      <c r="F290" s="517" t="s">
        <v>1812</v>
      </c>
      <c r="G290" s="518" t="s">
        <v>1872</v>
      </c>
      <c r="H290" s="518" t="s">
        <v>1870</v>
      </c>
      <c r="I290" s="519" t="s">
        <v>651</v>
      </c>
      <c r="J290" s="519" t="s">
        <v>651</v>
      </c>
    </row>
    <row r="291" spans="1:10" x14ac:dyDescent="0.2">
      <c r="A291" s="516" t="s">
        <v>1873</v>
      </c>
      <c r="B291" s="516"/>
      <c r="C291" s="516"/>
      <c r="D291" s="516"/>
      <c r="E291" s="516"/>
      <c r="F291" s="520">
        <v>1</v>
      </c>
      <c r="G291" s="521">
        <v>1</v>
      </c>
      <c r="H291" s="521">
        <v>1</v>
      </c>
      <c r="I291" s="521">
        <v>1</v>
      </c>
      <c r="J291" s="521">
        <v>1</v>
      </c>
    </row>
    <row r="292" spans="1:10" ht="22.5" x14ac:dyDescent="0.2">
      <c r="A292" s="516" t="s">
        <v>1874</v>
      </c>
      <c r="B292" s="516"/>
      <c r="C292" s="516"/>
      <c r="D292" s="516"/>
      <c r="E292" s="516"/>
      <c r="F292" s="517" t="s">
        <v>1812</v>
      </c>
      <c r="G292" s="519" t="s">
        <v>1875</v>
      </c>
      <c r="H292" s="519" t="s">
        <v>1876</v>
      </c>
      <c r="I292" s="519" t="s">
        <v>480</v>
      </c>
      <c r="J292" s="519" t="s">
        <v>480</v>
      </c>
    </row>
    <row r="293" spans="1:10" x14ac:dyDescent="0.2">
      <c r="A293" s="188" t="s">
        <v>660</v>
      </c>
      <c r="B293" s="188"/>
      <c r="C293" s="188"/>
      <c r="D293" s="188"/>
      <c r="E293" s="188"/>
      <c r="F293" s="273"/>
      <c r="G293" s="190"/>
      <c r="H293" s="190"/>
      <c r="I293" s="190"/>
      <c r="J293" s="190"/>
    </row>
    <row r="294" spans="1:10" x14ac:dyDescent="0.2">
      <c r="A294" s="180" t="s">
        <v>324</v>
      </c>
      <c r="B294" s="180"/>
      <c r="C294" s="180"/>
      <c r="D294" s="180"/>
      <c r="E294" s="180"/>
      <c r="F294" s="180"/>
      <c r="G294" s="180"/>
      <c r="H294" s="180"/>
      <c r="I294" s="180"/>
      <c r="J294" s="180"/>
    </row>
    <row r="295" spans="1:10" ht="15" customHeight="1" x14ac:dyDescent="0.2">
      <c r="A295" s="516" t="s">
        <v>1877</v>
      </c>
      <c r="B295" s="516"/>
      <c r="C295" s="516"/>
      <c r="D295" s="516"/>
      <c r="E295" s="516"/>
      <c r="F295" s="519">
        <v>49</v>
      </c>
      <c r="G295" s="519" t="s">
        <v>480</v>
      </c>
      <c r="H295" s="519" t="s">
        <v>480</v>
      </c>
      <c r="I295" s="519" t="s">
        <v>480</v>
      </c>
      <c r="J295" s="519" t="s">
        <v>480</v>
      </c>
    </row>
    <row r="296" spans="1:10" ht="24" customHeight="1" x14ac:dyDescent="0.2">
      <c r="A296" s="516" t="s">
        <v>1878</v>
      </c>
      <c r="B296" s="516"/>
      <c r="C296" s="516"/>
      <c r="D296" s="516"/>
      <c r="E296" s="516"/>
      <c r="F296" s="519" t="s">
        <v>1879</v>
      </c>
      <c r="G296" s="519" t="s">
        <v>1880</v>
      </c>
      <c r="H296" s="519" t="s">
        <v>1881</v>
      </c>
      <c r="I296" s="519" t="s">
        <v>1881</v>
      </c>
      <c r="J296" s="519" t="s">
        <v>1881</v>
      </c>
    </row>
    <row r="297" spans="1:10" x14ac:dyDescent="0.2">
      <c r="A297" s="516" t="s">
        <v>1882</v>
      </c>
      <c r="B297" s="516"/>
      <c r="C297" s="516"/>
      <c r="D297" s="516"/>
      <c r="E297" s="516"/>
      <c r="F297" s="519">
        <v>31</v>
      </c>
      <c r="G297" s="519" t="s">
        <v>480</v>
      </c>
      <c r="H297" s="519" t="s">
        <v>480</v>
      </c>
      <c r="I297" s="519" t="s">
        <v>480</v>
      </c>
      <c r="J297" s="519" t="s">
        <v>480</v>
      </c>
    </row>
    <row r="298" spans="1:10" ht="22.5" x14ac:dyDescent="0.2">
      <c r="A298" s="516" t="s">
        <v>1883</v>
      </c>
      <c r="B298" s="516"/>
      <c r="C298" s="516"/>
      <c r="D298" s="516"/>
      <c r="E298" s="516"/>
      <c r="F298" s="519" t="s">
        <v>1884</v>
      </c>
      <c r="G298" s="519">
        <v>0.03</v>
      </c>
      <c r="H298" s="519" t="s">
        <v>1881</v>
      </c>
      <c r="I298" s="519" t="s">
        <v>1881</v>
      </c>
      <c r="J298" s="519" t="s">
        <v>1881</v>
      </c>
    </row>
    <row r="299" spans="1:10" ht="15" customHeight="1" x14ac:dyDescent="0.2">
      <c r="A299" s="129"/>
      <c r="B299" s="129"/>
      <c r="C299" s="129"/>
      <c r="D299" s="129"/>
      <c r="E299" s="129"/>
      <c r="F299" s="129"/>
      <c r="G299" s="129"/>
      <c r="H299" s="129"/>
      <c r="I299" s="129"/>
      <c r="J299" s="129"/>
    </row>
    <row r="300" spans="1:10" x14ac:dyDescent="0.2">
      <c r="A300" s="150" t="s">
        <v>1885</v>
      </c>
      <c r="B300" s="150"/>
      <c r="C300" s="150"/>
      <c r="D300" s="150"/>
      <c r="E300" s="150"/>
      <c r="F300" s="150"/>
      <c r="G300" s="150"/>
      <c r="H300" s="150"/>
      <c r="I300" s="150"/>
      <c r="J300" s="150"/>
    </row>
    <row r="301" spans="1:10" x14ac:dyDescent="0.2">
      <c r="A301" s="389" t="s">
        <v>291</v>
      </c>
      <c r="B301" s="389"/>
      <c r="C301" s="389"/>
      <c r="D301" s="389"/>
      <c r="E301" s="389"/>
      <c r="F301" s="389"/>
      <c r="G301" s="389"/>
      <c r="H301" s="389"/>
      <c r="I301" s="389"/>
      <c r="J301" s="389"/>
    </row>
    <row r="302" spans="1:10" x14ac:dyDescent="0.2">
      <c r="A302" s="129" t="s">
        <v>1886</v>
      </c>
      <c r="B302" s="129"/>
      <c r="C302" s="129"/>
      <c r="D302" s="129"/>
      <c r="E302" s="129"/>
      <c r="F302" s="129"/>
      <c r="G302" s="129"/>
      <c r="H302" s="129"/>
      <c r="I302" s="129"/>
      <c r="J302" s="129"/>
    </row>
    <row r="303" spans="1:10" ht="15" customHeight="1" x14ac:dyDescent="0.2">
      <c r="A303" s="128" t="s">
        <v>293</v>
      </c>
      <c r="B303" s="128"/>
      <c r="C303" s="128"/>
      <c r="D303" s="128"/>
      <c r="E303" s="128"/>
      <c r="F303" s="128"/>
      <c r="G303" s="128"/>
      <c r="H303" s="128"/>
      <c r="I303" s="128"/>
      <c r="J303" s="128"/>
    </row>
    <row r="304" spans="1:10" ht="33.75" x14ac:dyDescent="0.2">
      <c r="A304" s="152" t="s">
        <v>243</v>
      </c>
      <c r="B304" s="151" t="s">
        <v>242</v>
      </c>
      <c r="C304" s="151"/>
      <c r="D304" s="151"/>
      <c r="E304" s="132" t="str">
        <f t="shared" ref="E304:J304" si="45">E24</f>
        <v>Actuals           2014-2015</v>
      </c>
      <c r="F304" s="132" t="str">
        <f t="shared" si="45"/>
        <v>Approved Estimates          2015-2016</v>
      </c>
      <c r="G304" s="132" t="str">
        <f t="shared" si="45"/>
        <v>Revised Estimates                 2015-2016</v>
      </c>
      <c r="H304" s="132" t="str">
        <f t="shared" si="45"/>
        <v>Budget Estimates      2016-2017</v>
      </c>
      <c r="I304" s="132" t="str">
        <f t="shared" si="45"/>
        <v>Forward Estimates     2017-2018</v>
      </c>
      <c r="J304" s="132" t="str">
        <f t="shared" si="45"/>
        <v>Forward Estimates     2018-2019</v>
      </c>
    </row>
    <row r="305" spans="1:10" x14ac:dyDescent="0.2">
      <c r="A305" s="207">
        <v>145</v>
      </c>
      <c r="B305" s="129" t="s">
        <v>1887</v>
      </c>
      <c r="C305" s="129"/>
      <c r="D305" s="129"/>
      <c r="E305" s="211">
        <f>50157.04+100</f>
        <v>50257.04</v>
      </c>
      <c r="F305" s="209">
        <v>80000</v>
      </c>
      <c r="G305" s="211">
        <v>88000</v>
      </c>
      <c r="H305" s="210">
        <v>80000</v>
      </c>
      <c r="I305" s="211">
        <v>80000</v>
      </c>
      <c r="J305" s="211">
        <v>80000</v>
      </c>
    </row>
    <row r="306" spans="1:10" ht="12" customHeight="1" x14ac:dyDescent="0.2">
      <c r="A306" s="137" t="s">
        <v>1788</v>
      </c>
      <c r="B306" s="137"/>
      <c r="C306" s="137"/>
      <c r="D306" s="137"/>
      <c r="E306" s="138">
        <f t="shared" ref="E306:J306" si="46">SUM(E305:E305)</f>
        <v>50257.04</v>
      </c>
      <c r="F306" s="138">
        <f t="shared" si="46"/>
        <v>80000</v>
      </c>
      <c r="G306" s="138">
        <f t="shared" si="46"/>
        <v>88000</v>
      </c>
      <c r="H306" s="138">
        <f t="shared" si="46"/>
        <v>80000</v>
      </c>
      <c r="I306" s="138">
        <f t="shared" si="46"/>
        <v>80000</v>
      </c>
      <c r="J306" s="138">
        <f t="shared" si="46"/>
        <v>80000</v>
      </c>
    </row>
    <row r="307" spans="1:10" x14ac:dyDescent="0.2">
      <c r="A307" s="129"/>
      <c r="B307" s="129"/>
      <c r="C307" s="129"/>
      <c r="D307" s="129"/>
      <c r="E307" s="129"/>
      <c r="F307" s="129"/>
      <c r="G307" s="129"/>
      <c r="H307" s="129"/>
      <c r="I307" s="129"/>
      <c r="J307" s="129"/>
    </row>
    <row r="308" spans="1:10" s="522" customFormat="1" x14ac:dyDescent="0.2">
      <c r="A308" s="128" t="s">
        <v>284</v>
      </c>
      <c r="B308" s="128"/>
      <c r="C308" s="128"/>
      <c r="D308" s="128"/>
      <c r="E308" s="128"/>
      <c r="F308" s="128"/>
      <c r="G308" s="128"/>
      <c r="H308" s="128"/>
      <c r="I308" s="128"/>
      <c r="J308" s="128"/>
    </row>
    <row r="309" spans="1:10" ht="33.75" x14ac:dyDescent="0.2">
      <c r="A309" s="152" t="s">
        <v>243</v>
      </c>
      <c r="B309" s="151" t="s">
        <v>242</v>
      </c>
      <c r="C309" s="151"/>
      <c r="D309" s="151"/>
      <c r="E309" s="132" t="str">
        <f t="shared" ref="E309:J309" si="47">E24</f>
        <v>Actuals           2014-2015</v>
      </c>
      <c r="F309" s="132" t="str">
        <f t="shared" si="47"/>
        <v>Approved Estimates          2015-2016</v>
      </c>
      <c r="G309" s="132" t="str">
        <f t="shared" si="47"/>
        <v>Revised Estimates                 2015-2016</v>
      </c>
      <c r="H309" s="132" t="str">
        <f t="shared" si="47"/>
        <v>Budget Estimates      2016-2017</v>
      </c>
      <c r="I309" s="132" t="str">
        <f t="shared" si="47"/>
        <v>Forward Estimates     2017-2018</v>
      </c>
      <c r="J309" s="132" t="str">
        <f t="shared" si="47"/>
        <v>Forward Estimates     2018-2019</v>
      </c>
    </row>
    <row r="310" spans="1:10" x14ac:dyDescent="0.2">
      <c r="A310" s="151" t="s">
        <v>7</v>
      </c>
      <c r="B310" s="151"/>
      <c r="C310" s="151"/>
      <c r="D310" s="151"/>
      <c r="E310" s="151"/>
      <c r="F310" s="151"/>
      <c r="G310" s="151"/>
      <c r="H310" s="151"/>
      <c r="I310" s="151"/>
      <c r="J310" s="190"/>
    </row>
    <row r="311" spans="1:10" ht="12.75" customHeight="1" x14ac:dyDescent="0.2">
      <c r="A311" s="207">
        <v>210</v>
      </c>
      <c r="B311" s="129" t="s">
        <v>7</v>
      </c>
      <c r="C311" s="129"/>
      <c r="D311" s="129"/>
      <c r="E311" s="211">
        <v>482905.71</v>
      </c>
      <c r="F311" s="209">
        <v>511300</v>
      </c>
      <c r="G311" s="211">
        <v>473800</v>
      </c>
      <c r="H311" s="210">
        <v>785900</v>
      </c>
      <c r="I311" s="211">
        <v>913400</v>
      </c>
      <c r="J311" s="211">
        <v>919300</v>
      </c>
    </row>
    <row r="312" spans="1:10" x14ac:dyDescent="0.2">
      <c r="A312" s="207">
        <v>212</v>
      </c>
      <c r="B312" s="129" t="s">
        <v>9</v>
      </c>
      <c r="C312" s="129"/>
      <c r="D312" s="129"/>
      <c r="E312" s="211">
        <v>5045.67</v>
      </c>
      <c r="F312" s="209">
        <v>4700</v>
      </c>
      <c r="G312" s="211">
        <v>4700</v>
      </c>
      <c r="H312" s="210">
        <v>59100</v>
      </c>
      <c r="I312" s="211">
        <v>59100</v>
      </c>
      <c r="J312" s="211">
        <v>59100</v>
      </c>
    </row>
    <row r="313" spans="1:10" x14ac:dyDescent="0.2">
      <c r="A313" s="207">
        <v>216</v>
      </c>
      <c r="B313" s="129" t="s">
        <v>10</v>
      </c>
      <c r="C313" s="129"/>
      <c r="D313" s="129"/>
      <c r="E313" s="211">
        <v>78015.05</v>
      </c>
      <c r="F313" s="209">
        <v>95700</v>
      </c>
      <c r="G313" s="211">
        <v>90600</v>
      </c>
      <c r="H313" s="210">
        <v>152000</v>
      </c>
      <c r="I313" s="211">
        <v>152000</v>
      </c>
      <c r="J313" s="211">
        <v>152000</v>
      </c>
    </row>
    <row r="314" spans="1:10" x14ac:dyDescent="0.2">
      <c r="A314" s="207">
        <v>218</v>
      </c>
      <c r="B314" s="129" t="s">
        <v>294</v>
      </c>
      <c r="C314" s="129"/>
      <c r="D314" s="129"/>
      <c r="E314" s="211">
        <v>0</v>
      </c>
      <c r="F314" s="209">
        <v>18600</v>
      </c>
      <c r="G314" s="211">
        <v>18500</v>
      </c>
      <c r="H314" s="210">
        <v>10000</v>
      </c>
      <c r="I314" s="211">
        <v>0</v>
      </c>
      <c r="J314" s="211">
        <v>105500</v>
      </c>
    </row>
    <row r="315" spans="1:10" x14ac:dyDescent="0.2">
      <c r="A315" s="156" t="s">
        <v>295</v>
      </c>
      <c r="B315" s="156"/>
      <c r="C315" s="156"/>
      <c r="D315" s="156"/>
      <c r="E315" s="157">
        <f t="shared" ref="E315:J315" si="48">SUM(E311:E314)</f>
        <v>565966.43000000005</v>
      </c>
      <c r="F315" s="157">
        <f t="shared" si="48"/>
        <v>630300</v>
      </c>
      <c r="G315" s="157">
        <f t="shared" si="48"/>
        <v>587600</v>
      </c>
      <c r="H315" s="157">
        <f t="shared" si="48"/>
        <v>1007000</v>
      </c>
      <c r="I315" s="157">
        <f t="shared" si="48"/>
        <v>1124500</v>
      </c>
      <c r="J315" s="157">
        <f t="shared" si="48"/>
        <v>1235900</v>
      </c>
    </row>
    <row r="316" spans="1:10" x14ac:dyDescent="0.2">
      <c r="A316" s="156" t="s">
        <v>296</v>
      </c>
      <c r="B316" s="196"/>
      <c r="C316" s="196"/>
      <c r="D316" s="196"/>
      <c r="E316" s="156"/>
      <c r="F316" s="156"/>
      <c r="G316" s="156"/>
      <c r="H316" s="156"/>
      <c r="I316" s="156"/>
      <c r="J316" s="190"/>
    </row>
    <row r="317" spans="1:10" ht="14.25" customHeight="1" x14ac:dyDescent="0.2">
      <c r="A317" s="416">
        <v>222</v>
      </c>
      <c r="B317" s="381" t="s">
        <v>205</v>
      </c>
      <c r="C317" s="462"/>
      <c r="D317" s="195"/>
      <c r="E317" s="417">
        <v>8623.5300000000007</v>
      </c>
      <c r="F317" s="211">
        <v>10000</v>
      </c>
      <c r="G317" s="211">
        <v>9700</v>
      </c>
      <c r="H317" s="210">
        <f>10000+10000</f>
        <v>20000</v>
      </c>
      <c r="I317" s="211">
        <f>10000+10000</f>
        <v>20000</v>
      </c>
      <c r="J317" s="211">
        <f>10000+10000</f>
        <v>20000</v>
      </c>
    </row>
    <row r="318" spans="1:10" x14ac:dyDescent="0.2">
      <c r="A318" s="207">
        <v>224</v>
      </c>
      <c r="B318" s="381" t="s">
        <v>206</v>
      </c>
      <c r="C318" s="462"/>
      <c r="D318" s="195"/>
      <c r="E318" s="211">
        <v>3367.22</v>
      </c>
      <c r="F318" s="211">
        <v>10500</v>
      </c>
      <c r="G318" s="211">
        <v>11500</v>
      </c>
      <c r="H318" s="210">
        <f>18300+15000</f>
        <v>33300</v>
      </c>
      <c r="I318" s="211">
        <f>18300+15000</f>
        <v>33300</v>
      </c>
      <c r="J318" s="211">
        <f>18300+15000</f>
        <v>33300</v>
      </c>
    </row>
    <row r="319" spans="1:10" ht="15" customHeight="1" x14ac:dyDescent="0.2">
      <c r="A319" s="207">
        <v>226</v>
      </c>
      <c r="B319" s="381" t="s">
        <v>207</v>
      </c>
      <c r="C319" s="462"/>
      <c r="D319" s="195"/>
      <c r="E319" s="211">
        <v>16188</v>
      </c>
      <c r="F319" s="211">
        <v>15500</v>
      </c>
      <c r="G319" s="211">
        <v>15300</v>
      </c>
      <c r="H319" s="210">
        <f>17500+15300</f>
        <v>32800</v>
      </c>
      <c r="I319" s="211">
        <f>17500+15300</f>
        <v>32800</v>
      </c>
      <c r="J319" s="211">
        <f>17500+15300</f>
        <v>32800</v>
      </c>
    </row>
    <row r="320" spans="1:10" ht="15" customHeight="1" x14ac:dyDescent="0.2">
      <c r="A320" s="207">
        <v>228</v>
      </c>
      <c r="B320" s="381" t="s">
        <v>208</v>
      </c>
      <c r="C320" s="462"/>
      <c r="D320" s="195"/>
      <c r="E320" s="211">
        <v>11251.87</v>
      </c>
      <c r="F320" s="211">
        <v>11000</v>
      </c>
      <c r="G320" s="211">
        <v>10800</v>
      </c>
      <c r="H320" s="210">
        <f>11000+11000</f>
        <v>22000</v>
      </c>
      <c r="I320" s="211">
        <f>11000+11000</f>
        <v>22000</v>
      </c>
      <c r="J320" s="211">
        <f>11000+11000</f>
        <v>22000</v>
      </c>
    </row>
    <row r="321" spans="1:10" ht="14.25" customHeight="1" x14ac:dyDescent="0.2">
      <c r="A321" s="207">
        <v>229</v>
      </c>
      <c r="B321" s="381" t="s">
        <v>209</v>
      </c>
      <c r="C321" s="462"/>
      <c r="D321" s="195"/>
      <c r="E321" s="211">
        <v>9978.61</v>
      </c>
      <c r="F321" s="211">
        <v>20700</v>
      </c>
      <c r="G321" s="211">
        <v>20700</v>
      </c>
      <c r="H321" s="210">
        <f>20700+5000</f>
        <v>25700</v>
      </c>
      <c r="I321" s="211">
        <f>20700+5000</f>
        <v>25700</v>
      </c>
      <c r="J321" s="211">
        <f>20700+5000</f>
        <v>25700</v>
      </c>
    </row>
    <row r="322" spans="1:10" ht="14.25" customHeight="1" x14ac:dyDescent="0.2">
      <c r="A322" s="207">
        <v>232</v>
      </c>
      <c r="B322" s="381" t="s">
        <v>211</v>
      </c>
      <c r="C322" s="462"/>
      <c r="D322" s="195"/>
      <c r="E322" s="211">
        <v>35506.11</v>
      </c>
      <c r="F322" s="211">
        <v>36000</v>
      </c>
      <c r="G322" s="211">
        <v>36600</v>
      </c>
      <c r="H322" s="210">
        <v>36000</v>
      </c>
      <c r="I322" s="211">
        <v>36000</v>
      </c>
      <c r="J322" s="211">
        <v>36000</v>
      </c>
    </row>
    <row r="323" spans="1:10" ht="14.25" customHeight="1" x14ac:dyDescent="0.2">
      <c r="A323" s="207">
        <v>236</v>
      </c>
      <c r="B323" s="381" t="s">
        <v>213</v>
      </c>
      <c r="C323" s="462"/>
      <c r="D323" s="195"/>
      <c r="E323" s="211">
        <v>23264.79</v>
      </c>
      <c r="F323" s="211">
        <v>11000</v>
      </c>
      <c r="G323" s="211">
        <v>11000</v>
      </c>
      <c r="H323" s="210">
        <v>11000</v>
      </c>
      <c r="I323" s="211">
        <v>11000</v>
      </c>
      <c r="J323" s="211">
        <v>11000</v>
      </c>
    </row>
    <row r="324" spans="1:10" ht="14.25" customHeight="1" x14ac:dyDescent="0.2">
      <c r="A324" s="207">
        <v>234</v>
      </c>
      <c r="B324" s="381" t="s">
        <v>212</v>
      </c>
      <c r="C324" s="462"/>
      <c r="D324" s="195"/>
      <c r="E324" s="211">
        <v>0</v>
      </c>
      <c r="F324" s="211">
        <v>0</v>
      </c>
      <c r="G324" s="211">
        <v>0</v>
      </c>
      <c r="H324" s="210">
        <f>45800+72000</f>
        <v>117800</v>
      </c>
      <c r="I324" s="211">
        <f>45800+72000</f>
        <v>117800</v>
      </c>
      <c r="J324" s="211">
        <f>45800+72000</f>
        <v>117800</v>
      </c>
    </row>
    <row r="325" spans="1:10" ht="14.25" customHeight="1" x14ac:dyDescent="0.2">
      <c r="A325" s="207">
        <v>238</v>
      </c>
      <c r="B325" s="381" t="s">
        <v>214</v>
      </c>
      <c r="C325" s="462"/>
      <c r="D325" s="195"/>
      <c r="E325" s="211">
        <v>6825</v>
      </c>
      <c r="F325" s="211">
        <v>8900</v>
      </c>
      <c r="G325" s="211">
        <v>6900</v>
      </c>
      <c r="H325" s="210">
        <v>6900</v>
      </c>
      <c r="I325" s="211">
        <v>6900</v>
      </c>
      <c r="J325" s="211">
        <v>6900</v>
      </c>
    </row>
    <row r="326" spans="1:10" ht="14.25" customHeight="1" x14ac:dyDescent="0.2">
      <c r="A326" s="207">
        <v>246</v>
      </c>
      <c r="B326" s="381" t="s">
        <v>218</v>
      </c>
      <c r="C326" s="462"/>
      <c r="D326" s="195"/>
      <c r="E326" s="211">
        <v>1500</v>
      </c>
      <c r="F326" s="211">
        <v>1500</v>
      </c>
      <c r="G326" s="211">
        <v>1500</v>
      </c>
      <c r="H326" s="210">
        <f>1500+1500</f>
        <v>3000</v>
      </c>
      <c r="I326" s="211">
        <f>1500+1500</f>
        <v>3000</v>
      </c>
      <c r="J326" s="211">
        <f>1500+1500</f>
        <v>3000</v>
      </c>
    </row>
    <row r="327" spans="1:10" ht="14.25" customHeight="1" x14ac:dyDescent="0.2">
      <c r="A327" s="207">
        <v>260</v>
      </c>
      <c r="B327" s="381" t="s">
        <v>220</v>
      </c>
      <c r="C327" s="462"/>
      <c r="D327" s="195"/>
      <c r="E327" s="211">
        <v>10000</v>
      </c>
      <c r="F327" s="211">
        <v>11000</v>
      </c>
      <c r="G327" s="211">
        <v>10500</v>
      </c>
      <c r="H327" s="210">
        <v>11000</v>
      </c>
      <c r="I327" s="211">
        <v>11000</v>
      </c>
      <c r="J327" s="211">
        <v>11000</v>
      </c>
    </row>
    <row r="328" spans="1:10" ht="14.25" customHeight="1" x14ac:dyDescent="0.2">
      <c r="A328" s="207">
        <v>261</v>
      </c>
      <c r="B328" s="381" t="s">
        <v>221</v>
      </c>
      <c r="C328" s="462"/>
      <c r="D328" s="195"/>
      <c r="E328" s="211">
        <v>720000</v>
      </c>
      <c r="F328" s="211">
        <v>660000</v>
      </c>
      <c r="G328" s="211">
        <v>660000</v>
      </c>
      <c r="H328" s="210">
        <v>660000</v>
      </c>
      <c r="I328" s="211">
        <v>660000</v>
      </c>
      <c r="J328" s="211">
        <v>660000</v>
      </c>
    </row>
    <row r="329" spans="1:10" ht="14.25" customHeight="1" x14ac:dyDescent="0.2">
      <c r="A329" s="207">
        <v>265</v>
      </c>
      <c r="B329" s="381" t="s">
        <v>222</v>
      </c>
      <c r="C329" s="462"/>
      <c r="D329" s="195"/>
      <c r="E329" s="211">
        <v>3213083.02</v>
      </c>
      <c r="F329" s="211">
        <v>3811300</v>
      </c>
      <c r="G329" s="211">
        <v>3837700</v>
      </c>
      <c r="H329" s="210">
        <f>3811300+30000</f>
        <v>3841300</v>
      </c>
      <c r="I329" s="211">
        <f>3811300+30000</f>
        <v>3841300</v>
      </c>
      <c r="J329" s="211">
        <f>3811300+30000</f>
        <v>3841300</v>
      </c>
    </row>
    <row r="330" spans="1:10" ht="14.25" customHeight="1" x14ac:dyDescent="0.2">
      <c r="A330" s="207">
        <v>275</v>
      </c>
      <c r="B330" s="381" t="s">
        <v>228</v>
      </c>
      <c r="C330" s="462"/>
      <c r="D330" s="195"/>
      <c r="E330" s="211">
        <v>1000</v>
      </c>
      <c r="F330" s="211">
        <v>1600</v>
      </c>
      <c r="G330" s="211">
        <v>1500</v>
      </c>
      <c r="H330" s="210">
        <f>1600+3200</f>
        <v>4800</v>
      </c>
      <c r="I330" s="211">
        <f>1600+3200</f>
        <v>4800</v>
      </c>
      <c r="J330" s="211">
        <f>1600+3200</f>
        <v>4800</v>
      </c>
    </row>
    <row r="331" spans="1:10" ht="14.25" customHeight="1" x14ac:dyDescent="0.2">
      <c r="A331" s="207">
        <v>280</v>
      </c>
      <c r="B331" s="381" t="s">
        <v>233</v>
      </c>
      <c r="C331" s="462"/>
      <c r="D331" s="195"/>
      <c r="E331" s="211">
        <v>15664.92</v>
      </c>
      <c r="F331" s="211">
        <v>30000</v>
      </c>
      <c r="G331" s="211">
        <v>32200</v>
      </c>
      <c r="H331" s="210">
        <v>30000</v>
      </c>
      <c r="I331" s="211">
        <v>30000</v>
      </c>
      <c r="J331" s="211">
        <v>30000</v>
      </c>
    </row>
    <row r="332" spans="1:10" x14ac:dyDescent="0.2">
      <c r="A332" s="156" t="s">
        <v>298</v>
      </c>
      <c r="B332" s="156"/>
      <c r="C332" s="156"/>
      <c r="D332" s="156"/>
      <c r="E332" s="157">
        <f t="shared" ref="E332:J332" si="49">SUM(E317:E331)</f>
        <v>4076253.07</v>
      </c>
      <c r="F332" s="264">
        <f t="shared" si="49"/>
        <v>4639000</v>
      </c>
      <c r="G332" s="157">
        <f t="shared" si="49"/>
        <v>4665900</v>
      </c>
      <c r="H332" s="523">
        <f t="shared" si="49"/>
        <v>4855600</v>
      </c>
      <c r="I332" s="523">
        <f t="shared" si="49"/>
        <v>4855600</v>
      </c>
      <c r="J332" s="523">
        <f t="shared" si="49"/>
        <v>4855600</v>
      </c>
    </row>
    <row r="333" spans="1:10" x14ac:dyDescent="0.2">
      <c r="A333" s="159" t="s">
        <v>299</v>
      </c>
      <c r="B333" s="159"/>
      <c r="C333" s="159"/>
      <c r="D333" s="159"/>
      <c r="E333" s="160">
        <f t="shared" ref="E333:J333" si="50">SUM(E315,E332)</f>
        <v>4642219.5</v>
      </c>
      <c r="F333" s="160">
        <f t="shared" si="50"/>
        <v>5269300</v>
      </c>
      <c r="G333" s="160">
        <f t="shared" si="50"/>
        <v>5253500</v>
      </c>
      <c r="H333" s="160">
        <f t="shared" si="50"/>
        <v>5862600</v>
      </c>
      <c r="I333" s="160">
        <f t="shared" si="50"/>
        <v>5980100</v>
      </c>
      <c r="J333" s="160">
        <f t="shared" si="50"/>
        <v>6091500</v>
      </c>
    </row>
    <row r="334" spans="1:10" x14ac:dyDescent="0.2">
      <c r="A334" s="290"/>
      <c r="B334" s="290"/>
      <c r="C334" s="290"/>
      <c r="D334" s="290"/>
      <c r="E334" s="290"/>
      <c r="F334" s="290"/>
      <c r="G334" s="290"/>
      <c r="H334" s="290"/>
      <c r="I334" s="290"/>
      <c r="J334" s="290"/>
    </row>
    <row r="335" spans="1:10" x14ac:dyDescent="0.2">
      <c r="A335" s="162" t="s">
        <v>15</v>
      </c>
      <c r="B335" s="162"/>
      <c r="C335" s="162"/>
      <c r="D335" s="162"/>
      <c r="E335" s="162"/>
      <c r="F335" s="162"/>
      <c r="G335" s="162"/>
      <c r="H335" s="162"/>
      <c r="I335" s="162"/>
      <c r="J335" s="162"/>
    </row>
    <row r="336" spans="1:10" ht="19.5" customHeight="1" x14ac:dyDescent="0.2">
      <c r="A336" s="131" t="s">
        <v>242</v>
      </c>
      <c r="B336" s="131"/>
      <c r="C336" s="131"/>
      <c r="D336" s="131"/>
      <c r="E336" s="128" t="str">
        <f t="shared" ref="E336:J336" si="51">E24</f>
        <v>Actuals           2014-2015</v>
      </c>
      <c r="F336" s="128" t="str">
        <f t="shared" si="51"/>
        <v>Approved Estimates          2015-2016</v>
      </c>
      <c r="G336" s="128" t="str">
        <f t="shared" si="51"/>
        <v>Revised Estimates                 2015-2016</v>
      </c>
      <c r="H336" s="128" t="str">
        <f t="shared" si="51"/>
        <v>Budget Estimates      2016-2017</v>
      </c>
      <c r="I336" s="128" t="str">
        <f t="shared" si="51"/>
        <v>Forward Estimates     2017-2018</v>
      </c>
      <c r="J336" s="128" t="str">
        <f t="shared" si="51"/>
        <v>Forward Estimates     2018-2019</v>
      </c>
    </row>
    <row r="337" spans="1:10" ht="14.25" customHeight="1" x14ac:dyDescent="0.2">
      <c r="A337" s="130" t="s">
        <v>243</v>
      </c>
      <c r="B337" s="130" t="s">
        <v>244</v>
      </c>
      <c r="C337" s="131" t="s">
        <v>245</v>
      </c>
      <c r="D337" s="131"/>
      <c r="E337" s="101"/>
      <c r="F337" s="101"/>
      <c r="G337" s="101"/>
      <c r="H337" s="101"/>
      <c r="I337" s="101"/>
      <c r="J337" s="101"/>
    </row>
    <row r="338" spans="1:10" ht="18" customHeight="1" x14ac:dyDescent="0.2">
      <c r="A338" s="163"/>
      <c r="B338" s="163"/>
      <c r="C338" s="156"/>
      <c r="D338" s="156"/>
      <c r="E338" s="158"/>
      <c r="F338" s="209"/>
      <c r="G338" s="158"/>
      <c r="H338" s="136"/>
      <c r="I338" s="158"/>
      <c r="J338" s="135"/>
    </row>
    <row r="339" spans="1:10" ht="20.25" customHeight="1" x14ac:dyDescent="0.2">
      <c r="A339" s="137" t="s">
        <v>15</v>
      </c>
      <c r="B339" s="137"/>
      <c r="C339" s="137"/>
      <c r="D339" s="137"/>
      <c r="E339" s="138">
        <f t="shared" ref="E339:J339" si="52">SUM(E338:E338)</f>
        <v>0</v>
      </c>
      <c r="F339" s="138">
        <f t="shared" si="52"/>
        <v>0</v>
      </c>
      <c r="G339" s="138">
        <f t="shared" si="52"/>
        <v>0</v>
      </c>
      <c r="H339" s="138">
        <f t="shared" si="52"/>
        <v>0</v>
      </c>
      <c r="I339" s="138">
        <f t="shared" si="52"/>
        <v>0</v>
      </c>
      <c r="J339" s="138">
        <f t="shared" si="52"/>
        <v>0</v>
      </c>
    </row>
    <row r="340" spans="1:10" ht="18" customHeight="1" x14ac:dyDescent="0.2">
      <c r="A340" s="290"/>
      <c r="B340" s="290"/>
      <c r="C340" s="290"/>
      <c r="D340" s="290"/>
      <c r="E340" s="290"/>
      <c r="F340" s="290"/>
      <c r="G340" s="290"/>
      <c r="H340" s="290"/>
      <c r="I340" s="290"/>
      <c r="J340" s="290"/>
    </row>
    <row r="341" spans="1:10" x14ac:dyDescent="0.2">
      <c r="A341" s="161" t="s">
        <v>288</v>
      </c>
      <c r="B341" s="161"/>
      <c r="C341" s="161"/>
      <c r="D341" s="161"/>
      <c r="E341" s="161"/>
      <c r="F341" s="161"/>
      <c r="G341" s="161"/>
      <c r="H341" s="161"/>
      <c r="I341" s="161"/>
      <c r="J341" s="161"/>
    </row>
    <row r="342" spans="1:10" x14ac:dyDescent="0.2">
      <c r="A342" s="131" t="s">
        <v>300</v>
      </c>
      <c r="B342" s="131"/>
      <c r="C342" s="131"/>
      <c r="D342" s="132" t="s">
        <v>301</v>
      </c>
      <c r="E342" s="132" t="s">
        <v>302</v>
      </c>
      <c r="F342" s="131" t="s">
        <v>300</v>
      </c>
      <c r="G342" s="131"/>
      <c r="H342" s="131"/>
      <c r="I342" s="132" t="s">
        <v>301</v>
      </c>
      <c r="J342" s="132" t="s">
        <v>302</v>
      </c>
    </row>
    <row r="343" spans="1:10" ht="12" customHeight="1" x14ac:dyDescent="0.2">
      <c r="A343" s="134" t="str">
        <f>Establishment!D679</f>
        <v>Director, Social Services</v>
      </c>
      <c r="B343" s="134"/>
      <c r="C343" s="134"/>
      <c r="D343" s="133" t="str">
        <f>Establishment!E679</f>
        <v>R14-10</v>
      </c>
      <c r="E343" s="133">
        <f>Establishment!C679</f>
        <v>1</v>
      </c>
      <c r="F343" s="134" t="str">
        <f>Establishment!D684</f>
        <v>Social Worker Assistant</v>
      </c>
      <c r="G343" s="134"/>
      <c r="H343" s="134"/>
      <c r="I343" s="133" t="str">
        <f>Establishment!E684</f>
        <v>R28-22</v>
      </c>
      <c r="J343" s="133">
        <f>Establishment!C684</f>
        <v>3</v>
      </c>
    </row>
    <row r="344" spans="1:10" ht="11.25" customHeight="1" x14ac:dyDescent="0.2">
      <c r="A344" s="134" t="str">
        <f>Establishment!D680</f>
        <v>Probation Officer</v>
      </c>
      <c r="B344" s="134"/>
      <c r="C344" s="134"/>
      <c r="D344" s="133" t="str">
        <f>Establishment!E680</f>
        <v>R22-16</v>
      </c>
      <c r="E344" s="133">
        <f>Establishment!C680</f>
        <v>1</v>
      </c>
      <c r="F344" s="134" t="str">
        <f>Establishment!D685</f>
        <v>Clerical Officer (Snr)</v>
      </c>
      <c r="G344" s="134"/>
      <c r="H344" s="134"/>
      <c r="I344" s="133" t="str">
        <f>Establishment!E685</f>
        <v>R33-29</v>
      </c>
      <c r="J344" s="133">
        <f>Establishment!C685</f>
        <v>1</v>
      </c>
    </row>
    <row r="345" spans="1:10" ht="15" customHeight="1" x14ac:dyDescent="0.2">
      <c r="A345" s="134" t="str">
        <f>Establishment!D681</f>
        <v>Social Worker (Snr)</v>
      </c>
      <c r="B345" s="134"/>
      <c r="C345" s="134"/>
      <c r="D345" s="133" t="str">
        <f>Establishment!E681</f>
        <v>R22-16/17-13</v>
      </c>
      <c r="E345" s="133">
        <f>Establishment!C681</f>
        <v>1</v>
      </c>
      <c r="F345" s="134" t="str">
        <f>Establishment!D686</f>
        <v>Warden/Caregiver</v>
      </c>
      <c r="G345" s="134"/>
      <c r="H345" s="134"/>
      <c r="I345" s="133" t="str">
        <f>Establishment!E686</f>
        <v>R48-38</v>
      </c>
      <c r="J345" s="133">
        <f>Establishment!C686</f>
        <v>2</v>
      </c>
    </row>
    <row r="346" spans="1:10" ht="15" customHeight="1" x14ac:dyDescent="0.2">
      <c r="A346" s="134" t="str">
        <f>Establishment!D682</f>
        <v>Social Worker</v>
      </c>
      <c r="B346" s="134"/>
      <c r="C346" s="134"/>
      <c r="D346" s="133" t="str">
        <f>Establishment!E682</f>
        <v>R28-22/22-16</v>
      </c>
      <c r="E346" s="133">
        <f>Establishment!C682</f>
        <v>2</v>
      </c>
      <c r="F346" s="134" t="str">
        <f>Establishment!D689</f>
        <v>Cleaner</v>
      </c>
      <c r="G346" s="134"/>
      <c r="H346" s="134"/>
      <c r="I346" s="133">
        <f>Establishment!E689</f>
        <v>0</v>
      </c>
      <c r="J346" s="133">
        <f>Establishment!C689</f>
        <v>1</v>
      </c>
    </row>
    <row r="347" spans="1:10" ht="15" customHeight="1" x14ac:dyDescent="0.2">
      <c r="A347" s="134" t="str">
        <f>Establishment!D683</f>
        <v>Child Care Officer</v>
      </c>
      <c r="B347" s="134"/>
      <c r="C347" s="134"/>
      <c r="D347" s="133" t="str">
        <f>Establishment!E683</f>
        <v>R28-22</v>
      </c>
      <c r="E347" s="133">
        <f>Establishment!C683</f>
        <v>1</v>
      </c>
      <c r="F347" s="134"/>
      <c r="G347" s="134"/>
      <c r="H347" s="134"/>
      <c r="I347" s="133"/>
      <c r="J347" s="133"/>
    </row>
    <row r="348" spans="1:10" ht="15" customHeight="1" x14ac:dyDescent="0.2">
      <c r="A348" s="203" t="s">
        <v>303</v>
      </c>
      <c r="B348" s="203"/>
      <c r="C348" s="203"/>
      <c r="D348" s="203"/>
      <c r="E348" s="203"/>
      <c r="F348" s="203"/>
      <c r="G348" s="203"/>
      <c r="H348" s="203"/>
      <c r="I348" s="203"/>
      <c r="J348" s="204">
        <f>SUM(E343:E347,J343:J347)</f>
        <v>13</v>
      </c>
    </row>
    <row r="349" spans="1:10" ht="15" customHeight="1" x14ac:dyDescent="0.2">
      <c r="A349" s="129"/>
      <c r="B349" s="129"/>
      <c r="C349" s="129"/>
      <c r="D349" s="129"/>
      <c r="E349" s="129"/>
      <c r="F349" s="129"/>
      <c r="G349" s="129"/>
      <c r="H349" s="129"/>
      <c r="I349" s="129"/>
      <c r="J349" s="129"/>
    </row>
    <row r="350" spans="1:10" ht="12.75" customHeight="1" x14ac:dyDescent="0.2">
      <c r="A350" s="180" t="s">
        <v>304</v>
      </c>
      <c r="B350" s="180"/>
      <c r="C350" s="180"/>
      <c r="D350" s="180"/>
      <c r="E350" s="180"/>
      <c r="F350" s="180"/>
      <c r="G350" s="180"/>
      <c r="H350" s="180"/>
      <c r="I350" s="180"/>
      <c r="J350" s="180"/>
    </row>
    <row r="351" spans="1:10" x14ac:dyDescent="0.2">
      <c r="A351" s="181" t="s">
        <v>305</v>
      </c>
      <c r="B351" s="181"/>
      <c r="C351" s="181"/>
      <c r="D351" s="181"/>
      <c r="E351" s="181"/>
      <c r="F351" s="181"/>
      <c r="G351" s="181"/>
      <c r="H351" s="181"/>
      <c r="I351" s="181"/>
      <c r="J351" s="181"/>
    </row>
    <row r="352" spans="1:10" ht="24.75" customHeight="1" x14ac:dyDescent="0.2">
      <c r="A352" s="182" t="s">
        <v>1888</v>
      </c>
      <c r="B352" s="129"/>
      <c r="C352" s="129"/>
      <c r="D352" s="129"/>
      <c r="E352" s="129"/>
      <c r="F352" s="129"/>
      <c r="G352" s="129"/>
      <c r="H352" s="129"/>
      <c r="I352" s="129"/>
      <c r="J352" s="129"/>
    </row>
    <row r="353" spans="1:10" ht="26.25" customHeight="1" x14ac:dyDescent="0.2">
      <c r="A353" s="182" t="s">
        <v>1889</v>
      </c>
      <c r="B353" s="129"/>
      <c r="C353" s="129"/>
      <c r="D353" s="129"/>
      <c r="E353" s="129"/>
      <c r="F353" s="129"/>
      <c r="G353" s="129"/>
      <c r="H353" s="129"/>
      <c r="I353" s="129"/>
      <c r="J353" s="129"/>
    </row>
    <row r="354" spans="1:10" ht="24.75" customHeight="1" x14ac:dyDescent="0.2">
      <c r="A354" s="182" t="s">
        <v>1890</v>
      </c>
      <c r="B354" s="129"/>
      <c r="C354" s="129"/>
      <c r="D354" s="129"/>
      <c r="E354" s="129"/>
      <c r="F354" s="129"/>
      <c r="G354" s="129"/>
      <c r="H354" s="129"/>
      <c r="I354" s="129"/>
      <c r="J354" s="129"/>
    </row>
    <row r="355" spans="1:10" ht="24.75" customHeight="1" x14ac:dyDescent="0.2">
      <c r="A355" s="182" t="s">
        <v>1891</v>
      </c>
      <c r="B355" s="129"/>
      <c r="C355" s="129"/>
      <c r="D355" s="129"/>
      <c r="E355" s="129"/>
      <c r="F355" s="129"/>
      <c r="G355" s="129"/>
      <c r="H355" s="129"/>
      <c r="I355" s="129"/>
      <c r="J355" s="129"/>
    </row>
    <row r="356" spans="1:10" ht="24.75" customHeight="1" x14ac:dyDescent="0.2">
      <c r="A356" s="182" t="s">
        <v>1892</v>
      </c>
      <c r="B356" s="129"/>
      <c r="C356" s="129"/>
      <c r="D356" s="129"/>
      <c r="E356" s="129"/>
      <c r="F356" s="129"/>
      <c r="G356" s="129"/>
      <c r="H356" s="129"/>
      <c r="I356" s="129"/>
      <c r="J356" s="129"/>
    </row>
    <row r="357" spans="1:10" ht="15" customHeight="1" x14ac:dyDescent="0.2">
      <c r="A357" s="129"/>
      <c r="B357" s="129"/>
      <c r="C357" s="129"/>
      <c r="D357" s="129"/>
      <c r="E357" s="129"/>
      <c r="F357" s="129"/>
      <c r="G357" s="129"/>
      <c r="H357" s="129"/>
      <c r="I357" s="129"/>
      <c r="J357" s="129"/>
    </row>
    <row r="358" spans="1:10" x14ac:dyDescent="0.2">
      <c r="A358" s="183" t="s">
        <v>415</v>
      </c>
      <c r="B358" s="183"/>
      <c r="C358" s="183"/>
      <c r="D358" s="183"/>
      <c r="E358" s="183"/>
      <c r="F358" s="183"/>
      <c r="G358" s="183"/>
      <c r="H358" s="183"/>
      <c r="I358" s="183"/>
      <c r="J358" s="183"/>
    </row>
    <row r="359" spans="1:10" x14ac:dyDescent="0.2">
      <c r="A359" s="129" t="s">
        <v>1893</v>
      </c>
      <c r="B359" s="129"/>
      <c r="C359" s="129"/>
      <c r="D359" s="129"/>
      <c r="E359" s="129"/>
      <c r="F359" s="129"/>
      <c r="G359" s="129"/>
      <c r="H359" s="129"/>
      <c r="I359" s="129"/>
      <c r="J359" s="129"/>
    </row>
    <row r="360" spans="1:10" ht="15" customHeight="1" x14ac:dyDescent="0.2">
      <c r="A360" s="129"/>
      <c r="B360" s="129"/>
      <c r="C360" s="129"/>
      <c r="D360" s="129"/>
      <c r="E360" s="129"/>
      <c r="F360" s="129"/>
      <c r="G360" s="129"/>
      <c r="H360" s="129"/>
      <c r="I360" s="129"/>
      <c r="J360" s="129"/>
    </row>
    <row r="361" spans="1:10" x14ac:dyDescent="0.2">
      <c r="A361" s="129"/>
      <c r="B361" s="129"/>
      <c r="C361" s="129"/>
      <c r="D361" s="129"/>
      <c r="E361" s="129"/>
      <c r="F361" s="129"/>
      <c r="G361" s="129"/>
      <c r="H361" s="129"/>
      <c r="I361" s="129"/>
      <c r="J361" s="129"/>
    </row>
    <row r="362" spans="1:10" ht="22.5" x14ac:dyDescent="0.2">
      <c r="A362" s="180" t="s">
        <v>315</v>
      </c>
      <c r="B362" s="180"/>
      <c r="C362" s="180"/>
      <c r="D362" s="180"/>
      <c r="E362" s="180"/>
      <c r="F362" s="184" t="str">
        <f>F195</f>
        <v xml:space="preserve"> Actual 2013/14</v>
      </c>
      <c r="G362" s="184" t="str">
        <f>G195</f>
        <v xml:space="preserve"> Estimate 2014/15</v>
      </c>
      <c r="H362" s="184" t="str">
        <f>H195</f>
        <v xml:space="preserve"> Target 2015/16</v>
      </c>
      <c r="I362" s="184" t="str">
        <f>I195</f>
        <v xml:space="preserve"> Target 2016/17</v>
      </c>
      <c r="J362" s="184" t="str">
        <f>J195</f>
        <v xml:space="preserve"> Target 2017/18</v>
      </c>
    </row>
    <row r="363" spans="1:10" x14ac:dyDescent="0.2">
      <c r="A363" s="180" t="s">
        <v>316</v>
      </c>
      <c r="B363" s="180"/>
      <c r="C363" s="180"/>
      <c r="D363" s="180"/>
      <c r="E363" s="180"/>
      <c r="F363" s="180"/>
      <c r="G363" s="180"/>
      <c r="H363" s="180"/>
      <c r="I363" s="180"/>
      <c r="J363" s="180"/>
    </row>
    <row r="364" spans="1:10" x14ac:dyDescent="0.2">
      <c r="A364" s="516" t="s">
        <v>1894</v>
      </c>
      <c r="B364" s="516"/>
      <c r="C364" s="516"/>
      <c r="D364" s="516"/>
      <c r="E364" s="516"/>
      <c r="F364" s="517">
        <v>3</v>
      </c>
      <c r="G364" s="519">
        <v>3</v>
      </c>
      <c r="H364" s="186">
        <v>2</v>
      </c>
      <c r="I364" s="186">
        <v>2</v>
      </c>
      <c r="J364" s="186" t="s">
        <v>480</v>
      </c>
    </row>
    <row r="365" spans="1:10" ht="33.75" x14ac:dyDescent="0.2">
      <c r="A365" s="516" t="s">
        <v>1895</v>
      </c>
      <c r="B365" s="516"/>
      <c r="C365" s="516"/>
      <c r="D365" s="516"/>
      <c r="E365" s="516"/>
      <c r="F365" s="517" t="s">
        <v>1896</v>
      </c>
      <c r="G365" s="519" t="s">
        <v>1897</v>
      </c>
      <c r="H365" s="186"/>
      <c r="I365" s="186"/>
      <c r="J365" s="186"/>
    </row>
    <row r="366" spans="1:10" x14ac:dyDescent="0.2">
      <c r="A366" s="516" t="s">
        <v>1898</v>
      </c>
      <c r="B366" s="516"/>
      <c r="C366" s="516"/>
      <c r="D366" s="516"/>
      <c r="E366" s="516"/>
      <c r="F366" s="517"/>
      <c r="G366" s="519"/>
      <c r="H366" s="186"/>
      <c r="I366" s="186"/>
      <c r="J366" s="186"/>
    </row>
    <row r="367" spans="1:10" x14ac:dyDescent="0.2">
      <c r="A367" s="516" t="s">
        <v>1899</v>
      </c>
      <c r="B367" s="516"/>
      <c r="C367" s="516"/>
      <c r="D367" s="516"/>
      <c r="E367" s="516"/>
      <c r="F367" s="517" t="s">
        <v>480</v>
      </c>
      <c r="G367" s="519" t="s">
        <v>480</v>
      </c>
      <c r="H367" s="186" t="s">
        <v>1900</v>
      </c>
      <c r="I367" s="186" t="s">
        <v>480</v>
      </c>
      <c r="J367" s="186" t="s">
        <v>480</v>
      </c>
    </row>
    <row r="368" spans="1:10" x14ac:dyDescent="0.2">
      <c r="A368" s="516" t="s">
        <v>1901</v>
      </c>
      <c r="B368" s="516"/>
      <c r="C368" s="516"/>
      <c r="D368" s="516"/>
      <c r="E368" s="516"/>
      <c r="F368" s="517" t="s">
        <v>480</v>
      </c>
      <c r="G368" s="519" t="s">
        <v>480</v>
      </c>
      <c r="H368" s="186" t="s">
        <v>1900</v>
      </c>
      <c r="I368" s="186" t="s">
        <v>480</v>
      </c>
      <c r="J368" s="186" t="s">
        <v>480</v>
      </c>
    </row>
    <row r="369" spans="1:10" x14ac:dyDescent="0.2">
      <c r="A369" s="516" t="s">
        <v>1902</v>
      </c>
      <c r="B369" s="516"/>
      <c r="C369" s="516"/>
      <c r="D369" s="516"/>
      <c r="E369" s="516"/>
      <c r="F369" s="517" t="s">
        <v>480</v>
      </c>
      <c r="G369" s="519" t="s">
        <v>480</v>
      </c>
      <c r="H369" s="186" t="s">
        <v>1900</v>
      </c>
      <c r="I369" s="186" t="s">
        <v>480</v>
      </c>
      <c r="J369" s="186" t="s">
        <v>480</v>
      </c>
    </row>
    <row r="370" spans="1:10" ht="15" customHeight="1" x14ac:dyDescent="0.2">
      <c r="A370" s="188"/>
      <c r="B370" s="188"/>
      <c r="C370" s="188"/>
      <c r="D370" s="188"/>
      <c r="E370" s="188"/>
      <c r="F370" s="273"/>
      <c r="G370" s="190"/>
      <c r="H370" s="190"/>
      <c r="I370" s="190"/>
      <c r="J370" s="190"/>
    </row>
    <row r="371" spans="1:10" x14ac:dyDescent="0.2">
      <c r="A371" s="180" t="s">
        <v>324</v>
      </c>
      <c r="B371" s="180"/>
      <c r="C371" s="180"/>
      <c r="D371" s="180"/>
      <c r="E371" s="180"/>
      <c r="F371" s="180"/>
      <c r="G371" s="180"/>
      <c r="H371" s="180"/>
      <c r="I371" s="180"/>
      <c r="J371" s="180"/>
    </row>
    <row r="372" spans="1:10" x14ac:dyDescent="0.2">
      <c r="A372" s="188" t="s">
        <v>660</v>
      </c>
      <c r="B372" s="188"/>
      <c r="C372" s="188"/>
      <c r="D372" s="188"/>
      <c r="E372" s="188"/>
      <c r="F372" s="273"/>
      <c r="G372" s="190"/>
      <c r="H372" s="190"/>
      <c r="I372" s="190"/>
      <c r="J372" s="190"/>
    </row>
    <row r="373" spans="1:10" x14ac:dyDescent="0.2">
      <c r="A373" s="516" t="s">
        <v>1903</v>
      </c>
      <c r="B373" s="516"/>
      <c r="C373" s="516"/>
      <c r="D373" s="516"/>
      <c r="E373" s="516"/>
      <c r="F373" s="517">
        <v>5</v>
      </c>
      <c r="G373" s="517">
        <v>4</v>
      </c>
      <c r="H373" s="517">
        <v>4</v>
      </c>
      <c r="I373" s="517">
        <v>4</v>
      </c>
      <c r="J373" s="517">
        <v>4</v>
      </c>
    </row>
    <row r="374" spans="1:10" ht="22.5" x14ac:dyDescent="0.2">
      <c r="A374" s="516" t="s">
        <v>1904</v>
      </c>
      <c r="B374" s="516"/>
      <c r="C374" s="516"/>
      <c r="D374" s="516"/>
      <c r="E374" s="516"/>
      <c r="F374" s="517" t="s">
        <v>1905</v>
      </c>
      <c r="G374" s="517" t="s">
        <v>1906</v>
      </c>
      <c r="H374" s="517" t="s">
        <v>1907</v>
      </c>
      <c r="I374" s="517" t="s">
        <v>1907</v>
      </c>
      <c r="J374" s="517" t="s">
        <v>1907</v>
      </c>
    </row>
    <row r="375" spans="1:10" ht="22.5" x14ac:dyDescent="0.2">
      <c r="A375" s="516" t="s">
        <v>1908</v>
      </c>
      <c r="B375" s="516"/>
      <c r="C375" s="516"/>
      <c r="D375" s="516"/>
      <c r="E375" s="516"/>
      <c r="F375" s="517">
        <v>7</v>
      </c>
      <c r="G375" s="517">
        <v>3</v>
      </c>
      <c r="H375" s="517" t="s">
        <v>1907</v>
      </c>
      <c r="I375" s="517" t="s">
        <v>1907</v>
      </c>
      <c r="J375" s="517" t="s">
        <v>1907</v>
      </c>
    </row>
    <row r="376" spans="1:10" x14ac:dyDescent="0.2">
      <c r="A376" s="516" t="s">
        <v>1909</v>
      </c>
      <c r="B376" s="516"/>
      <c r="C376" s="516"/>
      <c r="D376" s="516"/>
      <c r="E376" s="516"/>
      <c r="F376" s="517">
        <v>0</v>
      </c>
      <c r="G376" s="517">
        <v>3</v>
      </c>
      <c r="H376" s="517">
        <v>2</v>
      </c>
      <c r="I376" s="517">
        <v>1</v>
      </c>
      <c r="J376" s="517" t="s">
        <v>480</v>
      </c>
    </row>
    <row r="377" spans="1:10" ht="15" customHeight="1" x14ac:dyDescent="0.2">
      <c r="A377" s="129"/>
      <c r="B377" s="129"/>
      <c r="C377" s="129"/>
      <c r="D377" s="129"/>
      <c r="E377" s="129"/>
      <c r="F377" s="129"/>
      <c r="G377" s="129"/>
      <c r="H377" s="129"/>
      <c r="I377" s="129"/>
      <c r="J377" s="129"/>
    </row>
    <row r="378" spans="1:10" x14ac:dyDescent="0.2">
      <c r="A378" s="150" t="s">
        <v>1910</v>
      </c>
      <c r="B378" s="150"/>
      <c r="C378" s="150"/>
      <c r="D378" s="150"/>
      <c r="E378" s="150"/>
      <c r="F378" s="150"/>
      <c r="G378" s="150"/>
      <c r="H378" s="150"/>
      <c r="I378" s="150"/>
      <c r="J378" s="150"/>
    </row>
    <row r="379" spans="1:10" x14ac:dyDescent="0.2">
      <c r="A379" s="389" t="s">
        <v>291</v>
      </c>
      <c r="B379" s="389"/>
      <c r="C379" s="389"/>
      <c r="D379" s="389"/>
      <c r="E379" s="389"/>
      <c r="F379" s="389"/>
      <c r="G379" s="389"/>
      <c r="H379" s="389"/>
      <c r="I379" s="389"/>
      <c r="J379" s="389"/>
    </row>
    <row r="380" spans="1:10" ht="15" customHeight="1" x14ac:dyDescent="0.2">
      <c r="A380" s="129" t="s">
        <v>1911</v>
      </c>
      <c r="B380" s="129"/>
      <c r="C380" s="129"/>
      <c r="D380" s="129"/>
      <c r="E380" s="129"/>
      <c r="F380" s="129"/>
      <c r="G380" s="129"/>
      <c r="H380" s="129"/>
      <c r="I380" s="129"/>
      <c r="J380" s="129"/>
    </row>
    <row r="381" spans="1:10" ht="15" customHeight="1" x14ac:dyDescent="0.2">
      <c r="A381" s="128" t="s">
        <v>293</v>
      </c>
      <c r="B381" s="128"/>
      <c r="C381" s="128"/>
      <c r="D381" s="128"/>
      <c r="E381" s="128"/>
      <c r="F381" s="128"/>
      <c r="G381" s="128"/>
      <c r="H381" s="128"/>
      <c r="I381" s="128"/>
      <c r="J381" s="128"/>
    </row>
    <row r="382" spans="1:10" ht="33.75" x14ac:dyDescent="0.2">
      <c r="A382" s="152" t="s">
        <v>243</v>
      </c>
      <c r="B382" s="151" t="s">
        <v>242</v>
      </c>
      <c r="C382" s="151"/>
      <c r="D382" s="151"/>
      <c r="E382" s="132" t="s">
        <v>793</v>
      </c>
      <c r="F382" s="132" t="s">
        <v>794</v>
      </c>
      <c r="G382" s="132" t="s">
        <v>795</v>
      </c>
      <c r="H382" s="132" t="s">
        <v>796</v>
      </c>
      <c r="I382" s="132" t="s">
        <v>797</v>
      </c>
      <c r="J382" s="132" t="s">
        <v>798</v>
      </c>
    </row>
    <row r="383" spans="1:10" ht="15" customHeight="1" x14ac:dyDescent="0.2">
      <c r="A383" s="207"/>
      <c r="B383" s="129"/>
      <c r="C383" s="129"/>
      <c r="D383" s="129"/>
      <c r="E383" s="211"/>
      <c r="F383" s="209"/>
      <c r="G383" s="211"/>
      <c r="H383" s="210"/>
      <c r="I383" s="211"/>
      <c r="J383" s="211"/>
    </row>
    <row r="384" spans="1:10" x14ac:dyDescent="0.2">
      <c r="A384" s="137" t="s">
        <v>1788</v>
      </c>
      <c r="B384" s="137"/>
      <c r="C384" s="137"/>
      <c r="D384" s="137"/>
      <c r="E384" s="138">
        <f t="shared" ref="E384:J384" si="53">SUM(E383:E383)</f>
        <v>0</v>
      </c>
      <c r="F384" s="138">
        <f t="shared" si="53"/>
        <v>0</v>
      </c>
      <c r="G384" s="138">
        <f t="shared" si="53"/>
        <v>0</v>
      </c>
      <c r="H384" s="138">
        <f t="shared" si="53"/>
        <v>0</v>
      </c>
      <c r="I384" s="138">
        <f t="shared" si="53"/>
        <v>0</v>
      </c>
      <c r="J384" s="138">
        <f t="shared" si="53"/>
        <v>0</v>
      </c>
    </row>
    <row r="385" spans="1:10" ht="15" customHeight="1" x14ac:dyDescent="0.2">
      <c r="A385" s="129"/>
      <c r="B385" s="129"/>
      <c r="C385" s="129"/>
      <c r="D385" s="129"/>
      <c r="E385" s="129"/>
      <c r="F385" s="129"/>
      <c r="G385" s="129"/>
      <c r="H385" s="129"/>
      <c r="I385" s="129"/>
      <c r="J385" s="129"/>
    </row>
    <row r="386" spans="1:10" x14ac:dyDescent="0.2">
      <c r="A386" s="128" t="s">
        <v>284</v>
      </c>
      <c r="B386" s="128"/>
      <c r="C386" s="128"/>
      <c r="D386" s="128"/>
      <c r="E386" s="128"/>
      <c r="F386" s="128"/>
      <c r="G386" s="128"/>
      <c r="H386" s="128"/>
      <c r="I386" s="128"/>
      <c r="J386" s="128"/>
    </row>
    <row r="387" spans="1:10" ht="33.75" x14ac:dyDescent="0.2">
      <c r="A387" s="152" t="s">
        <v>243</v>
      </c>
      <c r="B387" s="151" t="s">
        <v>242</v>
      </c>
      <c r="C387" s="151"/>
      <c r="D387" s="151"/>
      <c r="E387" s="132" t="str">
        <f t="shared" ref="E387:J387" si="54">E24</f>
        <v>Actuals           2014-2015</v>
      </c>
      <c r="F387" s="132" t="str">
        <f t="shared" si="54"/>
        <v>Approved Estimates          2015-2016</v>
      </c>
      <c r="G387" s="132" t="str">
        <f t="shared" si="54"/>
        <v>Revised Estimates                 2015-2016</v>
      </c>
      <c r="H387" s="132" t="str">
        <f t="shared" si="54"/>
        <v>Budget Estimates      2016-2017</v>
      </c>
      <c r="I387" s="132" t="str">
        <f t="shared" si="54"/>
        <v>Forward Estimates     2017-2018</v>
      </c>
      <c r="J387" s="132" t="str">
        <f t="shared" si="54"/>
        <v>Forward Estimates     2018-2019</v>
      </c>
    </row>
    <row r="388" spans="1:10" ht="15" customHeight="1" x14ac:dyDescent="0.2">
      <c r="A388" s="151" t="s">
        <v>7</v>
      </c>
      <c r="B388" s="151"/>
      <c r="C388" s="151"/>
      <c r="D388" s="151"/>
      <c r="E388" s="151"/>
      <c r="F388" s="151"/>
      <c r="G388" s="151"/>
      <c r="H388" s="151"/>
      <c r="I388" s="151"/>
      <c r="J388" s="190"/>
    </row>
    <row r="389" spans="1:10" x14ac:dyDescent="0.2">
      <c r="A389" s="207">
        <v>210</v>
      </c>
      <c r="B389" s="129" t="s">
        <v>7</v>
      </c>
      <c r="C389" s="129"/>
      <c r="D389" s="129"/>
      <c r="E389" s="211">
        <v>402270.62</v>
      </c>
      <c r="F389" s="209">
        <v>374100</v>
      </c>
      <c r="G389" s="211">
        <v>370200</v>
      </c>
      <c r="H389" s="210">
        <v>414300</v>
      </c>
      <c r="I389" s="211">
        <v>420100</v>
      </c>
      <c r="J389" s="211">
        <v>426800</v>
      </c>
    </row>
    <row r="390" spans="1:10" x14ac:dyDescent="0.2">
      <c r="A390" s="207">
        <v>212</v>
      </c>
      <c r="B390" s="129" t="s">
        <v>9</v>
      </c>
      <c r="C390" s="129"/>
      <c r="D390" s="129"/>
      <c r="E390" s="211">
        <v>0</v>
      </c>
      <c r="F390" s="209">
        <v>0</v>
      </c>
      <c r="G390" s="211">
        <v>0</v>
      </c>
      <c r="H390" s="210">
        <v>0</v>
      </c>
      <c r="I390" s="211">
        <v>0</v>
      </c>
      <c r="J390" s="211">
        <v>0</v>
      </c>
    </row>
    <row r="391" spans="1:10" x14ac:dyDescent="0.2">
      <c r="A391" s="207">
        <v>216</v>
      </c>
      <c r="B391" s="129" t="s">
        <v>10</v>
      </c>
      <c r="C391" s="129"/>
      <c r="D391" s="129"/>
      <c r="E391" s="211">
        <v>34254.910000000003</v>
      </c>
      <c r="F391" s="209">
        <v>39600</v>
      </c>
      <c r="G391" s="211">
        <v>37000</v>
      </c>
      <c r="H391" s="210">
        <v>43000</v>
      </c>
      <c r="I391" s="211">
        <v>43000</v>
      </c>
      <c r="J391" s="211">
        <v>43000</v>
      </c>
    </row>
    <row r="392" spans="1:10" ht="15" customHeight="1" x14ac:dyDescent="0.2">
      <c r="A392" s="207">
        <v>218</v>
      </c>
      <c r="B392" s="129" t="s">
        <v>294</v>
      </c>
      <c r="C392" s="129"/>
      <c r="D392" s="129"/>
      <c r="E392" s="211">
        <v>5598</v>
      </c>
      <c r="F392" s="209">
        <v>5600</v>
      </c>
      <c r="G392" s="211">
        <v>5600</v>
      </c>
      <c r="H392" s="210">
        <v>20400</v>
      </c>
      <c r="I392" s="211">
        <v>5600</v>
      </c>
      <c r="J392" s="211">
        <v>20400</v>
      </c>
    </row>
    <row r="393" spans="1:10" x14ac:dyDescent="0.2">
      <c r="A393" s="156" t="s">
        <v>295</v>
      </c>
      <c r="B393" s="156"/>
      <c r="C393" s="156"/>
      <c r="D393" s="156"/>
      <c r="E393" s="157">
        <f t="shared" ref="E393:J393" si="55">SUM(E389:E392)</f>
        <v>442123.53</v>
      </c>
      <c r="F393" s="157">
        <f t="shared" si="55"/>
        <v>419300</v>
      </c>
      <c r="G393" s="157">
        <f t="shared" si="55"/>
        <v>412800</v>
      </c>
      <c r="H393" s="157">
        <f t="shared" si="55"/>
        <v>477700</v>
      </c>
      <c r="I393" s="157">
        <f t="shared" si="55"/>
        <v>468700</v>
      </c>
      <c r="J393" s="157">
        <f t="shared" si="55"/>
        <v>490200</v>
      </c>
    </row>
    <row r="394" spans="1:10" x14ac:dyDescent="0.2">
      <c r="A394" s="156" t="s">
        <v>296</v>
      </c>
      <c r="B394" s="156"/>
      <c r="C394" s="156"/>
      <c r="D394" s="156"/>
      <c r="E394" s="156"/>
      <c r="F394" s="156"/>
      <c r="G394" s="156"/>
      <c r="H394" s="156"/>
      <c r="I394" s="156"/>
      <c r="J394" s="190"/>
    </row>
    <row r="395" spans="1:10" x14ac:dyDescent="0.2">
      <c r="A395" s="207">
        <v>224</v>
      </c>
      <c r="B395" s="129" t="s">
        <v>206</v>
      </c>
      <c r="C395" s="129"/>
      <c r="D395" s="129"/>
      <c r="E395" s="211">
        <v>0</v>
      </c>
      <c r="F395" s="211">
        <v>55000</v>
      </c>
      <c r="G395" s="211">
        <v>54700</v>
      </c>
      <c r="H395" s="210">
        <v>55000</v>
      </c>
      <c r="I395" s="211">
        <v>55000</v>
      </c>
      <c r="J395" s="211">
        <v>55000</v>
      </c>
    </row>
    <row r="396" spans="1:10" x14ac:dyDescent="0.2">
      <c r="A396" s="207">
        <v>228</v>
      </c>
      <c r="B396" s="129" t="s">
        <v>208</v>
      </c>
      <c r="C396" s="129"/>
      <c r="D396" s="129"/>
      <c r="E396" s="211">
        <v>11805.57</v>
      </c>
      <c r="F396" s="211">
        <v>10000</v>
      </c>
      <c r="G396" s="211">
        <v>9100</v>
      </c>
      <c r="H396" s="210">
        <v>10000</v>
      </c>
      <c r="I396" s="211">
        <v>10000</v>
      </c>
      <c r="J396" s="211">
        <v>10000</v>
      </c>
    </row>
    <row r="397" spans="1:10" ht="15" customHeight="1" x14ac:dyDescent="0.2">
      <c r="A397" s="207">
        <v>229</v>
      </c>
      <c r="B397" s="129" t="s">
        <v>209</v>
      </c>
      <c r="C397" s="129"/>
      <c r="D397" s="129"/>
      <c r="E397" s="211">
        <v>3987.45</v>
      </c>
      <c r="F397" s="211">
        <v>4000</v>
      </c>
      <c r="G397" s="211">
        <v>4000</v>
      </c>
      <c r="H397" s="210">
        <v>4000</v>
      </c>
      <c r="I397" s="211">
        <v>4000</v>
      </c>
      <c r="J397" s="211">
        <v>4000</v>
      </c>
    </row>
    <row r="398" spans="1:10" ht="15" customHeight="1" x14ac:dyDescent="0.2">
      <c r="A398" s="207">
        <v>230</v>
      </c>
      <c r="B398" s="129" t="s">
        <v>210</v>
      </c>
      <c r="C398" s="129"/>
      <c r="D398" s="129"/>
      <c r="E398" s="211">
        <v>6395</v>
      </c>
      <c r="F398" s="211">
        <v>9000</v>
      </c>
      <c r="G398" s="211">
        <v>12800</v>
      </c>
      <c r="H398" s="210">
        <v>9000</v>
      </c>
      <c r="I398" s="211">
        <v>9000</v>
      </c>
      <c r="J398" s="211">
        <v>9000</v>
      </c>
    </row>
    <row r="399" spans="1:10" x14ac:dyDescent="0.2">
      <c r="A399" s="207">
        <v>232</v>
      </c>
      <c r="B399" s="129" t="s">
        <v>211</v>
      </c>
      <c r="C399" s="129"/>
      <c r="D399" s="129"/>
      <c r="E399" s="211">
        <v>22899.74</v>
      </c>
      <c r="F399" s="211">
        <v>23400</v>
      </c>
      <c r="G399" s="211">
        <v>26100</v>
      </c>
      <c r="H399" s="210">
        <v>43400</v>
      </c>
      <c r="I399" s="211">
        <v>43400</v>
      </c>
      <c r="J399" s="211">
        <v>43400</v>
      </c>
    </row>
    <row r="400" spans="1:10" x14ac:dyDescent="0.2">
      <c r="A400" s="207">
        <v>236</v>
      </c>
      <c r="B400" s="129" t="s">
        <v>213</v>
      </c>
      <c r="C400" s="129"/>
      <c r="D400" s="129"/>
      <c r="E400" s="211">
        <v>1100957.32</v>
      </c>
      <c r="F400" s="211">
        <f>810000+113000</f>
        <v>923000</v>
      </c>
      <c r="G400" s="211">
        <v>922600</v>
      </c>
      <c r="H400" s="210">
        <v>933000</v>
      </c>
      <c r="I400" s="211">
        <v>923000</v>
      </c>
      <c r="J400" s="211">
        <v>923000</v>
      </c>
    </row>
    <row r="401" spans="1:10" x14ac:dyDescent="0.2">
      <c r="A401" s="156" t="s">
        <v>298</v>
      </c>
      <c r="B401" s="156"/>
      <c r="C401" s="156"/>
      <c r="D401" s="156"/>
      <c r="E401" s="157">
        <f t="shared" ref="E401:J401" si="56">SUM(E395:E400)</f>
        <v>1146045.08</v>
      </c>
      <c r="F401" s="157">
        <f t="shared" si="56"/>
        <v>1024400</v>
      </c>
      <c r="G401" s="157">
        <f t="shared" si="56"/>
        <v>1029300</v>
      </c>
      <c r="H401" s="157">
        <f t="shared" si="56"/>
        <v>1054400</v>
      </c>
      <c r="I401" s="157">
        <f t="shared" si="56"/>
        <v>1044400</v>
      </c>
      <c r="J401" s="157">
        <f t="shared" si="56"/>
        <v>1044400</v>
      </c>
    </row>
    <row r="402" spans="1:10" x14ac:dyDescent="0.2">
      <c r="A402" s="159" t="s">
        <v>299</v>
      </c>
      <c r="B402" s="159"/>
      <c r="C402" s="159"/>
      <c r="D402" s="159"/>
      <c r="E402" s="160">
        <f t="shared" ref="E402:J402" si="57">SUM(E393,E401)</f>
        <v>1588168.61</v>
      </c>
      <c r="F402" s="160">
        <f t="shared" si="57"/>
        <v>1443700</v>
      </c>
      <c r="G402" s="160">
        <f t="shared" si="57"/>
        <v>1442100</v>
      </c>
      <c r="H402" s="160">
        <f t="shared" si="57"/>
        <v>1532100</v>
      </c>
      <c r="I402" s="160">
        <f t="shared" si="57"/>
        <v>1513100</v>
      </c>
      <c r="J402" s="160">
        <f t="shared" si="57"/>
        <v>1534600</v>
      </c>
    </row>
    <row r="403" spans="1:10" x14ac:dyDescent="0.2">
      <c r="A403" s="129"/>
      <c r="B403" s="129"/>
      <c r="C403" s="129"/>
      <c r="D403" s="129"/>
      <c r="E403" s="129"/>
      <c r="F403" s="129"/>
      <c r="G403" s="129"/>
      <c r="H403" s="129"/>
      <c r="I403" s="129"/>
      <c r="J403" s="190"/>
    </row>
    <row r="404" spans="1:10" x14ac:dyDescent="0.2">
      <c r="A404" s="162" t="s">
        <v>15</v>
      </c>
      <c r="B404" s="162"/>
      <c r="C404" s="162"/>
      <c r="D404" s="162"/>
      <c r="E404" s="162"/>
      <c r="F404" s="162"/>
      <c r="G404" s="162"/>
      <c r="H404" s="162"/>
      <c r="I404" s="162"/>
      <c r="J404" s="162"/>
    </row>
    <row r="405" spans="1:10" ht="19.5" customHeight="1" x14ac:dyDescent="0.2">
      <c r="A405" s="131" t="s">
        <v>242</v>
      </c>
      <c r="B405" s="131"/>
      <c r="C405" s="131"/>
      <c r="D405" s="131"/>
      <c r="E405" s="128" t="str">
        <f t="shared" ref="E405:J405" si="58">E24</f>
        <v>Actuals           2014-2015</v>
      </c>
      <c r="F405" s="128" t="str">
        <f t="shared" si="58"/>
        <v>Approved Estimates          2015-2016</v>
      </c>
      <c r="G405" s="128" t="str">
        <f t="shared" si="58"/>
        <v>Revised Estimates                 2015-2016</v>
      </c>
      <c r="H405" s="128" t="str">
        <f t="shared" si="58"/>
        <v>Budget Estimates      2016-2017</v>
      </c>
      <c r="I405" s="128" t="str">
        <f t="shared" si="58"/>
        <v>Forward Estimates     2017-2018</v>
      </c>
      <c r="J405" s="128" t="str">
        <f t="shared" si="58"/>
        <v>Forward Estimates     2018-2019</v>
      </c>
    </row>
    <row r="406" spans="1:10" ht="15" customHeight="1" x14ac:dyDescent="0.2">
      <c r="A406" s="130" t="s">
        <v>243</v>
      </c>
      <c r="B406" s="130" t="s">
        <v>244</v>
      </c>
      <c r="C406" s="131" t="s">
        <v>245</v>
      </c>
      <c r="D406" s="131"/>
      <c r="E406" s="101"/>
      <c r="F406" s="101"/>
      <c r="G406" s="101"/>
      <c r="H406" s="101"/>
      <c r="I406" s="101"/>
      <c r="J406" s="101"/>
    </row>
    <row r="407" spans="1:10" x14ac:dyDescent="0.2">
      <c r="A407" s="163"/>
      <c r="B407" s="163"/>
      <c r="C407" s="156"/>
      <c r="D407" s="156"/>
      <c r="E407" s="158"/>
      <c r="F407" s="209"/>
      <c r="G407" s="158"/>
      <c r="H407" s="136"/>
      <c r="I407" s="158"/>
      <c r="J407" s="135"/>
    </row>
    <row r="408" spans="1:10" x14ac:dyDescent="0.2">
      <c r="A408" s="163"/>
      <c r="B408" s="163"/>
      <c r="C408" s="156"/>
      <c r="D408" s="156"/>
      <c r="E408" s="158"/>
      <c r="F408" s="209"/>
      <c r="G408" s="158"/>
      <c r="H408" s="136"/>
      <c r="I408" s="158"/>
      <c r="J408" s="135"/>
    </row>
    <row r="409" spans="1:10" ht="16.899999999999999" customHeight="1" x14ac:dyDescent="0.2">
      <c r="A409" s="137" t="s">
        <v>15</v>
      </c>
      <c r="B409" s="137"/>
      <c r="C409" s="137"/>
      <c r="D409" s="137"/>
      <c r="E409" s="138">
        <v>0</v>
      </c>
      <c r="F409" s="138">
        <v>0</v>
      </c>
      <c r="G409" s="138">
        <v>0</v>
      </c>
      <c r="H409" s="138">
        <v>0</v>
      </c>
      <c r="I409" s="138">
        <v>0</v>
      </c>
      <c r="J409" s="138">
        <v>0</v>
      </c>
    </row>
    <row r="410" spans="1:10" x14ac:dyDescent="0.2">
      <c r="A410" s="129"/>
      <c r="B410" s="129"/>
      <c r="C410" s="129"/>
      <c r="D410" s="129"/>
      <c r="E410" s="129"/>
      <c r="F410" s="129"/>
      <c r="G410" s="129"/>
      <c r="H410" s="129"/>
      <c r="I410" s="129"/>
      <c r="J410" s="129"/>
    </row>
    <row r="411" spans="1:10" ht="15" customHeight="1" x14ac:dyDescent="0.2">
      <c r="A411" s="161" t="s">
        <v>288</v>
      </c>
      <c r="B411" s="161"/>
      <c r="C411" s="161"/>
      <c r="D411" s="161"/>
      <c r="E411" s="161"/>
      <c r="F411" s="202"/>
      <c r="G411" s="202"/>
      <c r="H411" s="202"/>
      <c r="I411" s="202"/>
      <c r="J411" s="202"/>
    </row>
    <row r="412" spans="1:10" x14ac:dyDescent="0.2">
      <c r="A412" s="131" t="s">
        <v>300</v>
      </c>
      <c r="B412" s="131"/>
      <c r="C412" s="131"/>
      <c r="D412" s="132" t="s">
        <v>301</v>
      </c>
      <c r="E412" s="132" t="s">
        <v>302</v>
      </c>
      <c r="F412" s="131" t="s">
        <v>300</v>
      </c>
      <c r="G412" s="131"/>
      <c r="H412" s="131"/>
      <c r="I412" s="132" t="s">
        <v>301</v>
      </c>
      <c r="J412" s="132" t="s">
        <v>302</v>
      </c>
    </row>
    <row r="413" spans="1:10" x14ac:dyDescent="0.2">
      <c r="A413" s="134" t="str">
        <f>Establishment!D694</f>
        <v>Environmental Health Officer (Principal)</v>
      </c>
      <c r="B413" s="134"/>
      <c r="C413" s="134"/>
      <c r="D413" s="133" t="str">
        <f>Establishment!E694</f>
        <v>R22-16</v>
      </c>
      <c r="E413" s="133">
        <f>Establishment!C694</f>
        <v>1</v>
      </c>
      <c r="F413" s="134" t="str">
        <f>Establishment!D698</f>
        <v>Cemetery Worker</v>
      </c>
      <c r="G413" s="134"/>
      <c r="H413" s="134"/>
      <c r="I413" s="133" t="str">
        <f>Establishment!E695</f>
        <v>R28-22</v>
      </c>
      <c r="J413" s="133">
        <f>Establishment!C695</f>
        <v>2</v>
      </c>
    </row>
    <row r="414" spans="1:10" ht="12" customHeight="1" x14ac:dyDescent="0.2">
      <c r="A414" s="134" t="str">
        <f>Establishment!D695</f>
        <v>Environmental Health Officer</v>
      </c>
      <c r="B414" s="134"/>
      <c r="C414" s="134"/>
      <c r="D414" s="133" t="str">
        <f>Establishment!E695</f>
        <v>R28-22</v>
      </c>
      <c r="E414" s="133">
        <f>Establishment!C695</f>
        <v>2</v>
      </c>
      <c r="F414" s="134" t="str">
        <f>Establishment!D699</f>
        <v>Tip Man</v>
      </c>
      <c r="G414" s="134"/>
      <c r="H414" s="134"/>
      <c r="I414" s="133" t="str">
        <f>Establishment!E696</f>
        <v>R39-34</v>
      </c>
      <c r="J414" s="133">
        <f>Establishment!C696</f>
        <v>1</v>
      </c>
    </row>
    <row r="415" spans="1:10" ht="12" customHeight="1" x14ac:dyDescent="0.2">
      <c r="A415" s="134" t="str">
        <f>Establishment!D696</f>
        <v>Vector Control Leader</v>
      </c>
      <c r="B415" s="134"/>
      <c r="C415" s="134"/>
      <c r="D415" s="133" t="str">
        <f>Establishment!E696</f>
        <v>R39-34</v>
      </c>
      <c r="E415" s="133">
        <f>Establishment!C696</f>
        <v>1</v>
      </c>
      <c r="F415" s="134" t="str">
        <f>Establishment!D700</f>
        <v>Driver</v>
      </c>
      <c r="G415" s="134"/>
      <c r="H415" s="134"/>
      <c r="I415" s="133" t="str">
        <f>Establishment!E697</f>
        <v>R48-38</v>
      </c>
      <c r="J415" s="133">
        <f>Establishment!C697</f>
        <v>3</v>
      </c>
    </row>
    <row r="416" spans="1:10" ht="12" customHeight="1" x14ac:dyDescent="0.2">
      <c r="A416" s="134" t="str">
        <f>Establishment!D697</f>
        <v>Vector Worker</v>
      </c>
      <c r="B416" s="134"/>
      <c r="C416" s="134"/>
      <c r="D416" s="133" t="str">
        <f>Establishment!E697</f>
        <v>R48-38</v>
      </c>
      <c r="E416" s="133">
        <f>Establishment!C697</f>
        <v>3</v>
      </c>
      <c r="F416" s="134"/>
      <c r="G416" s="134"/>
      <c r="H416" s="134"/>
      <c r="I416" s="133"/>
      <c r="J416" s="133"/>
    </row>
    <row r="417" spans="1:10" ht="12" customHeight="1" x14ac:dyDescent="0.2">
      <c r="A417" s="203" t="s">
        <v>303</v>
      </c>
      <c r="B417" s="203"/>
      <c r="C417" s="203"/>
      <c r="D417" s="203"/>
      <c r="E417" s="203"/>
      <c r="F417" s="203"/>
      <c r="G417" s="203"/>
      <c r="H417" s="203"/>
      <c r="I417" s="203"/>
      <c r="J417" s="204">
        <f>SUM(E413:E416,J413:J416)</f>
        <v>13</v>
      </c>
    </row>
    <row r="418" spans="1:10" ht="12" customHeight="1" x14ac:dyDescent="0.2">
      <c r="A418" s="129"/>
      <c r="B418" s="129"/>
      <c r="C418" s="129"/>
      <c r="D418" s="129"/>
      <c r="E418" s="129"/>
      <c r="F418" s="179"/>
      <c r="G418" s="179"/>
      <c r="H418" s="179"/>
      <c r="I418" s="179"/>
      <c r="J418" s="179"/>
    </row>
    <row r="419" spans="1:10" ht="12" customHeight="1" x14ac:dyDescent="0.2">
      <c r="A419" s="180" t="s">
        <v>304</v>
      </c>
      <c r="B419" s="180"/>
      <c r="C419" s="180"/>
      <c r="D419" s="180"/>
      <c r="E419" s="180"/>
      <c r="F419" s="180"/>
      <c r="G419" s="180"/>
      <c r="H419" s="180"/>
      <c r="I419" s="180"/>
      <c r="J419" s="180"/>
    </row>
    <row r="420" spans="1:10" ht="12" customHeight="1" x14ac:dyDescent="0.2">
      <c r="A420" s="181" t="s">
        <v>305</v>
      </c>
      <c r="B420" s="181"/>
      <c r="C420" s="181"/>
      <c r="D420" s="181"/>
      <c r="E420" s="181"/>
      <c r="F420" s="181"/>
      <c r="G420" s="181"/>
      <c r="H420" s="181"/>
      <c r="I420" s="181"/>
      <c r="J420" s="181"/>
    </row>
    <row r="421" spans="1:10" ht="24.75" customHeight="1" x14ac:dyDescent="0.2">
      <c r="A421" s="129" t="s">
        <v>1912</v>
      </c>
      <c r="B421" s="129"/>
      <c r="C421" s="129"/>
      <c r="D421" s="129"/>
      <c r="E421" s="129"/>
      <c r="F421" s="129"/>
      <c r="G421" s="129"/>
      <c r="H421" s="129"/>
      <c r="I421" s="129"/>
      <c r="J421" s="129"/>
    </row>
    <row r="422" spans="1:10" x14ac:dyDescent="0.2">
      <c r="A422" s="129" t="s">
        <v>1913</v>
      </c>
      <c r="B422" s="129"/>
      <c r="C422" s="129"/>
      <c r="D422" s="129"/>
      <c r="E422" s="129"/>
      <c r="F422" s="129"/>
      <c r="G422" s="129"/>
      <c r="H422" s="129"/>
      <c r="I422" s="129"/>
      <c r="J422" s="129"/>
    </row>
    <row r="423" spans="1:10" x14ac:dyDescent="0.2">
      <c r="A423" s="129" t="s">
        <v>1914</v>
      </c>
      <c r="B423" s="129"/>
      <c r="C423" s="129"/>
      <c r="D423" s="129"/>
      <c r="E423" s="129"/>
      <c r="F423" s="129"/>
      <c r="G423" s="129"/>
      <c r="H423" s="129"/>
      <c r="I423" s="129"/>
      <c r="J423" s="129"/>
    </row>
    <row r="424" spans="1:10" ht="24" customHeight="1" x14ac:dyDescent="0.2">
      <c r="A424" s="129" t="s">
        <v>1915</v>
      </c>
      <c r="B424" s="129"/>
      <c r="C424" s="129"/>
      <c r="D424" s="129"/>
      <c r="E424" s="129"/>
      <c r="F424" s="129"/>
      <c r="G424" s="129"/>
      <c r="H424" s="129"/>
      <c r="I424" s="129"/>
      <c r="J424" s="129"/>
    </row>
    <row r="425" spans="1:10" x14ac:dyDescent="0.2">
      <c r="A425" s="129"/>
      <c r="B425" s="129"/>
      <c r="C425" s="129"/>
      <c r="D425" s="129"/>
      <c r="E425" s="129"/>
      <c r="F425" s="129"/>
      <c r="G425" s="129"/>
      <c r="H425" s="129"/>
      <c r="I425" s="129"/>
      <c r="J425" s="129"/>
    </row>
    <row r="426" spans="1:10" ht="15" customHeight="1" x14ac:dyDescent="0.2">
      <c r="A426" s="183" t="s">
        <v>415</v>
      </c>
      <c r="B426" s="183"/>
      <c r="C426" s="183"/>
      <c r="D426" s="183"/>
      <c r="E426" s="183"/>
      <c r="F426" s="183"/>
      <c r="G426" s="183"/>
      <c r="H426" s="183"/>
      <c r="I426" s="183"/>
      <c r="J426" s="183"/>
    </row>
    <row r="427" spans="1:10" x14ac:dyDescent="0.2">
      <c r="A427" s="129"/>
      <c r="B427" s="129"/>
      <c r="C427" s="129"/>
      <c r="D427" s="129"/>
      <c r="E427" s="129"/>
      <c r="F427" s="129"/>
      <c r="G427" s="129"/>
      <c r="H427" s="129"/>
      <c r="I427" s="129"/>
      <c r="J427" s="129"/>
    </row>
    <row r="428" spans="1:10" ht="15" customHeight="1" x14ac:dyDescent="0.2">
      <c r="A428" s="129"/>
      <c r="B428" s="129"/>
      <c r="C428" s="129"/>
      <c r="D428" s="129"/>
      <c r="E428" s="129"/>
      <c r="F428" s="129"/>
      <c r="G428" s="129"/>
      <c r="H428" s="129"/>
      <c r="I428" s="129"/>
      <c r="J428" s="129"/>
    </row>
    <row r="429" spans="1:10" x14ac:dyDescent="0.2">
      <c r="A429" s="129"/>
      <c r="B429" s="129"/>
      <c r="C429" s="129"/>
      <c r="D429" s="129"/>
      <c r="E429" s="129"/>
      <c r="F429" s="129"/>
      <c r="G429" s="129"/>
      <c r="H429" s="129"/>
      <c r="I429" s="129"/>
      <c r="J429" s="129"/>
    </row>
    <row r="430" spans="1:10" x14ac:dyDescent="0.2">
      <c r="A430" s="129"/>
      <c r="B430" s="129"/>
      <c r="C430" s="129"/>
      <c r="D430" s="129"/>
      <c r="E430" s="129"/>
      <c r="F430" s="129"/>
      <c r="G430" s="129"/>
      <c r="H430" s="129"/>
      <c r="I430" s="129"/>
      <c r="J430" s="129"/>
    </row>
    <row r="431" spans="1:10" ht="22.5" x14ac:dyDescent="0.2">
      <c r="A431" s="180" t="s">
        <v>315</v>
      </c>
      <c r="B431" s="180"/>
      <c r="C431" s="180"/>
      <c r="D431" s="180"/>
      <c r="E431" s="180"/>
      <c r="F431" s="184" t="str">
        <f>F195</f>
        <v xml:space="preserve"> Actual 2013/14</v>
      </c>
      <c r="G431" s="184" t="str">
        <f>G195</f>
        <v xml:space="preserve"> Estimate 2014/15</v>
      </c>
      <c r="H431" s="184" t="str">
        <f>H195</f>
        <v xml:space="preserve"> Target 2015/16</v>
      </c>
      <c r="I431" s="184" t="str">
        <f>I195</f>
        <v xml:space="preserve"> Target 2016/17</v>
      </c>
      <c r="J431" s="184" t="str">
        <f>J195</f>
        <v xml:space="preserve"> Target 2017/18</v>
      </c>
    </row>
    <row r="432" spans="1:10" ht="15" customHeight="1" x14ac:dyDescent="0.2">
      <c r="A432" s="180" t="s">
        <v>316</v>
      </c>
      <c r="B432" s="180"/>
      <c r="C432" s="180"/>
      <c r="D432" s="180"/>
      <c r="E432" s="180"/>
      <c r="F432" s="180"/>
      <c r="G432" s="180"/>
      <c r="H432" s="180"/>
      <c r="I432" s="180"/>
      <c r="J432" s="180"/>
    </row>
    <row r="433" spans="1:10" ht="45" x14ac:dyDescent="0.2">
      <c r="A433" s="188" t="s">
        <v>1916</v>
      </c>
      <c r="B433" s="188"/>
      <c r="C433" s="188"/>
      <c r="D433" s="188"/>
      <c r="E433" s="188"/>
      <c r="F433" s="305" t="s">
        <v>1917</v>
      </c>
      <c r="G433" s="305" t="s">
        <v>1918</v>
      </c>
      <c r="H433" s="305" t="s">
        <v>1919</v>
      </c>
      <c r="I433" s="305"/>
      <c r="J433" s="305"/>
    </row>
    <row r="434" spans="1:10" x14ac:dyDescent="0.2">
      <c r="A434" s="188" t="s">
        <v>1920</v>
      </c>
      <c r="B434" s="188"/>
      <c r="C434" s="188"/>
      <c r="D434" s="188"/>
      <c r="E434" s="188"/>
      <c r="F434" s="305">
        <v>93</v>
      </c>
      <c r="G434" s="305">
        <v>130</v>
      </c>
      <c r="H434" s="305">
        <v>180</v>
      </c>
      <c r="I434" s="305">
        <v>180</v>
      </c>
      <c r="J434" s="305">
        <v>180</v>
      </c>
    </row>
    <row r="435" spans="1:10" ht="15" customHeight="1" x14ac:dyDescent="0.2">
      <c r="A435" s="188" t="s">
        <v>1921</v>
      </c>
      <c r="B435" s="188"/>
      <c r="C435" s="188"/>
      <c r="D435" s="188"/>
      <c r="E435" s="188"/>
      <c r="F435" s="305">
        <v>3</v>
      </c>
      <c r="G435" s="305">
        <v>3</v>
      </c>
      <c r="H435" s="305" t="s">
        <v>1922</v>
      </c>
      <c r="I435" s="305" t="s">
        <v>1922</v>
      </c>
      <c r="J435" s="305" t="s">
        <v>1922</v>
      </c>
    </row>
    <row r="436" spans="1:10" x14ac:dyDescent="0.2">
      <c r="A436" s="188" t="s">
        <v>1923</v>
      </c>
      <c r="B436" s="188"/>
      <c r="C436" s="188"/>
      <c r="D436" s="188"/>
      <c r="E436" s="188"/>
      <c r="F436" s="305">
        <v>1</v>
      </c>
      <c r="G436" s="305">
        <v>1</v>
      </c>
      <c r="H436" s="305">
        <v>2</v>
      </c>
      <c r="I436" s="305">
        <v>2</v>
      </c>
      <c r="J436" s="305">
        <v>2</v>
      </c>
    </row>
    <row r="437" spans="1:10" x14ac:dyDescent="0.2">
      <c r="A437" s="188" t="s">
        <v>660</v>
      </c>
      <c r="B437" s="188"/>
      <c r="C437" s="188"/>
      <c r="D437" s="188"/>
      <c r="E437" s="188"/>
      <c r="F437" s="273"/>
      <c r="G437" s="190"/>
      <c r="H437" s="190"/>
      <c r="I437" s="190"/>
      <c r="J437" s="190"/>
    </row>
    <row r="438" spans="1:10" x14ac:dyDescent="0.2">
      <c r="A438" s="180" t="s">
        <v>324</v>
      </c>
      <c r="B438" s="180"/>
      <c r="C438" s="180"/>
      <c r="D438" s="180"/>
      <c r="E438" s="180"/>
      <c r="F438" s="180"/>
      <c r="G438" s="180"/>
      <c r="H438" s="180"/>
      <c r="I438" s="180"/>
      <c r="J438" s="180"/>
    </row>
    <row r="439" spans="1:10" x14ac:dyDescent="0.2">
      <c r="A439" s="188" t="s">
        <v>1924</v>
      </c>
      <c r="B439" s="188" t="s">
        <v>1924</v>
      </c>
      <c r="C439" s="188" t="s">
        <v>1924</v>
      </c>
      <c r="D439" s="188" t="s">
        <v>1924</v>
      </c>
      <c r="E439" s="188" t="s">
        <v>1924</v>
      </c>
      <c r="F439" s="270">
        <v>0.09</v>
      </c>
      <c r="G439" s="270">
        <v>0.05</v>
      </c>
      <c r="H439" s="270">
        <v>0.04</v>
      </c>
      <c r="I439" s="270">
        <v>0.04</v>
      </c>
      <c r="J439" s="270">
        <v>0.04</v>
      </c>
    </row>
    <row r="440" spans="1:10" ht="24.75" customHeight="1" x14ac:dyDescent="0.2">
      <c r="A440" s="188" t="s">
        <v>1925</v>
      </c>
      <c r="B440" s="188" t="s">
        <v>1925</v>
      </c>
      <c r="C440" s="188" t="s">
        <v>1925</v>
      </c>
      <c r="D440" s="188" t="s">
        <v>1925</v>
      </c>
      <c r="E440" s="188" t="s">
        <v>1925</v>
      </c>
      <c r="F440" s="272" t="s">
        <v>1926</v>
      </c>
      <c r="G440" s="272" t="s">
        <v>1927</v>
      </c>
      <c r="H440" s="272" t="s">
        <v>1927</v>
      </c>
      <c r="I440" s="272" t="s">
        <v>1928</v>
      </c>
      <c r="J440" s="272" t="s">
        <v>1929</v>
      </c>
    </row>
    <row r="441" spans="1:10" x14ac:dyDescent="0.2">
      <c r="A441" s="188" t="s">
        <v>660</v>
      </c>
      <c r="B441" s="188"/>
      <c r="C441" s="188"/>
      <c r="D441" s="188"/>
      <c r="E441" s="188"/>
      <c r="F441" s="273"/>
      <c r="G441" s="190"/>
      <c r="H441" s="190"/>
      <c r="I441" s="190"/>
      <c r="J441" s="190"/>
    </row>
    <row r="442" spans="1:10" x14ac:dyDescent="0.2">
      <c r="A442" s="129"/>
      <c r="B442" s="129"/>
      <c r="C442" s="129"/>
      <c r="D442" s="129"/>
      <c r="E442" s="129"/>
      <c r="F442" s="129"/>
      <c r="G442" s="129"/>
      <c r="H442" s="129"/>
      <c r="I442" s="129"/>
      <c r="J442" s="129"/>
    </row>
    <row r="443" spans="1:10" x14ac:dyDescent="0.2">
      <c r="A443" s="222"/>
      <c r="B443" s="222"/>
      <c r="C443" s="222"/>
      <c r="D443" s="222"/>
      <c r="E443" s="274" t="s">
        <v>382</v>
      </c>
      <c r="F443" s="229"/>
      <c r="G443" s="222"/>
      <c r="H443" s="222"/>
      <c r="I443" s="222"/>
      <c r="J443" s="223" t="s">
        <v>766</v>
      </c>
    </row>
    <row r="444" spans="1:10" ht="34.5" thickBot="1" x14ac:dyDescent="0.25">
      <c r="A444" s="224"/>
      <c r="B444" s="224" t="s">
        <v>188</v>
      </c>
      <c r="C444" s="225"/>
      <c r="D444" s="226"/>
      <c r="E444" s="184" t="str">
        <f t="shared" ref="E444:J444" si="59">E24</f>
        <v>Actuals           2014-2015</v>
      </c>
      <c r="F444" s="184" t="str">
        <f t="shared" si="59"/>
        <v>Approved Estimates          2015-2016</v>
      </c>
      <c r="G444" s="184" t="str">
        <f t="shared" si="59"/>
        <v>Revised Estimates                 2015-2016</v>
      </c>
      <c r="H444" s="184" t="str">
        <f t="shared" si="59"/>
        <v>Budget Estimates      2016-2017</v>
      </c>
      <c r="I444" s="184" t="str">
        <f t="shared" si="59"/>
        <v>Forward Estimates     2017-2018</v>
      </c>
      <c r="J444" s="184" t="str">
        <f t="shared" si="59"/>
        <v>Forward Estimates     2018-2019</v>
      </c>
    </row>
    <row r="445" spans="1:10" ht="15" customHeight="1" x14ac:dyDescent="0.2">
      <c r="A445" s="229" t="s">
        <v>7</v>
      </c>
      <c r="B445" s="227"/>
      <c r="C445" s="227"/>
      <c r="D445" s="227"/>
      <c r="E445" s="227"/>
      <c r="F445" s="227"/>
      <c r="G445" s="227"/>
      <c r="H445" s="227"/>
      <c r="I445" s="228"/>
      <c r="J445" s="227"/>
    </row>
    <row r="446" spans="1:10" x14ac:dyDescent="0.2">
      <c r="A446" s="222"/>
      <c r="B446" s="222" t="s">
        <v>501</v>
      </c>
      <c r="C446" s="222"/>
      <c r="D446" s="222"/>
      <c r="E446" s="231">
        <f t="shared" ref="E446:J446" si="60">E72</f>
        <v>396181.01</v>
      </c>
      <c r="F446" s="231">
        <f t="shared" si="60"/>
        <v>402900</v>
      </c>
      <c r="G446" s="231">
        <f t="shared" si="60"/>
        <v>410000</v>
      </c>
      <c r="H446" s="231">
        <f t="shared" si="60"/>
        <v>469100</v>
      </c>
      <c r="I446" s="231">
        <f t="shared" si="60"/>
        <v>490400</v>
      </c>
      <c r="J446" s="231">
        <f t="shared" si="60"/>
        <v>497500</v>
      </c>
    </row>
    <row r="447" spans="1:10" x14ac:dyDescent="0.2">
      <c r="A447" s="222"/>
      <c r="B447" s="222" t="s">
        <v>1784</v>
      </c>
      <c r="C447" s="222"/>
      <c r="D447" s="222"/>
      <c r="E447" s="231">
        <f t="shared" ref="E447:J447" si="61">E145</f>
        <v>1114970.25</v>
      </c>
      <c r="F447" s="231">
        <f t="shared" si="61"/>
        <v>1288000</v>
      </c>
      <c r="G447" s="231">
        <f t="shared" si="61"/>
        <v>1113400</v>
      </c>
      <c r="H447" s="231">
        <f t="shared" si="61"/>
        <v>1449500</v>
      </c>
      <c r="I447" s="231">
        <f t="shared" si="61"/>
        <v>1540000</v>
      </c>
      <c r="J447" s="231">
        <f t="shared" si="61"/>
        <v>1565400</v>
      </c>
    </row>
    <row r="448" spans="1:10" x14ac:dyDescent="0.2">
      <c r="A448" s="222"/>
      <c r="B448" s="222" t="s">
        <v>1785</v>
      </c>
      <c r="C448" s="222"/>
      <c r="D448" s="222"/>
      <c r="E448" s="231">
        <f t="shared" ref="E448:J448" si="62">E224</f>
        <v>4110248.87</v>
      </c>
      <c r="F448" s="231">
        <f t="shared" si="62"/>
        <v>4383700</v>
      </c>
      <c r="G448" s="231">
        <f t="shared" si="62"/>
        <v>4160000</v>
      </c>
      <c r="H448" s="231">
        <f t="shared" si="62"/>
        <v>4317400</v>
      </c>
      <c r="I448" s="231">
        <f t="shared" si="62"/>
        <v>4394700</v>
      </c>
      <c r="J448" s="231">
        <f t="shared" si="62"/>
        <v>4435700</v>
      </c>
    </row>
    <row r="449" spans="1:10" ht="15" customHeight="1" x14ac:dyDescent="0.2">
      <c r="A449" s="222"/>
      <c r="B449" s="222" t="s">
        <v>1786</v>
      </c>
      <c r="C449" s="222"/>
      <c r="D449" s="222"/>
      <c r="E449" s="231">
        <f t="shared" ref="E449:J449" si="63">E311</f>
        <v>482905.71</v>
      </c>
      <c r="F449" s="231">
        <f t="shared" si="63"/>
        <v>511300</v>
      </c>
      <c r="G449" s="231">
        <f t="shared" si="63"/>
        <v>473800</v>
      </c>
      <c r="H449" s="231">
        <f t="shared" si="63"/>
        <v>785900</v>
      </c>
      <c r="I449" s="231">
        <f t="shared" si="63"/>
        <v>913400</v>
      </c>
      <c r="J449" s="231">
        <f t="shared" si="63"/>
        <v>919300</v>
      </c>
    </row>
    <row r="450" spans="1:10" x14ac:dyDescent="0.2">
      <c r="A450" s="233"/>
      <c r="B450" s="233" t="s">
        <v>1787</v>
      </c>
      <c r="C450" s="233"/>
      <c r="D450" s="233"/>
      <c r="E450" s="231">
        <f t="shared" ref="E450:J450" si="64">E389</f>
        <v>402270.62</v>
      </c>
      <c r="F450" s="231">
        <f t="shared" si="64"/>
        <v>374100</v>
      </c>
      <c r="G450" s="231">
        <f t="shared" si="64"/>
        <v>370200</v>
      </c>
      <c r="H450" s="231">
        <f t="shared" si="64"/>
        <v>414300</v>
      </c>
      <c r="I450" s="231">
        <f t="shared" si="64"/>
        <v>420100</v>
      </c>
      <c r="J450" s="231">
        <f t="shared" si="64"/>
        <v>426800</v>
      </c>
    </row>
    <row r="451" spans="1:10" ht="15" customHeight="1" thickBot="1" x14ac:dyDescent="0.25">
      <c r="A451" s="222"/>
      <c r="B451" s="222"/>
      <c r="C451" s="229" t="s">
        <v>385</v>
      </c>
      <c r="D451" s="235"/>
      <c r="E451" s="236">
        <f t="shared" ref="E451:J451" si="65">SUM(E446:E450)</f>
        <v>6506576.46</v>
      </c>
      <c r="F451" s="236">
        <f t="shared" si="65"/>
        <v>6960000</v>
      </c>
      <c r="G451" s="236">
        <f t="shared" si="65"/>
        <v>6527400</v>
      </c>
      <c r="H451" s="236">
        <f t="shared" si="65"/>
        <v>7436200</v>
      </c>
      <c r="I451" s="236">
        <f t="shared" si="65"/>
        <v>7758600</v>
      </c>
      <c r="J451" s="236">
        <f t="shared" si="65"/>
        <v>7844700</v>
      </c>
    </row>
    <row r="452" spans="1:10" ht="15" customHeight="1" x14ac:dyDescent="0.2">
      <c r="A452" s="237" t="s">
        <v>196</v>
      </c>
      <c r="B452" s="237"/>
      <c r="C452" s="233"/>
      <c r="D452" s="238"/>
      <c r="E452" s="242"/>
      <c r="F452" s="242"/>
      <c r="G452" s="242"/>
      <c r="H452" s="242"/>
      <c r="I452" s="242"/>
      <c r="J452" s="242"/>
    </row>
    <row r="453" spans="1:10" ht="15" customHeight="1" x14ac:dyDescent="0.2">
      <c r="A453" s="222"/>
      <c r="B453" s="222" t="s">
        <v>501</v>
      </c>
      <c r="C453" s="222"/>
      <c r="D453" s="222"/>
      <c r="E453" s="231">
        <f t="shared" ref="E453:J453" si="66">E73</f>
        <v>0</v>
      </c>
      <c r="F453" s="231">
        <f t="shared" si="66"/>
        <v>0</v>
      </c>
      <c r="G453" s="231">
        <f t="shared" si="66"/>
        <v>0</v>
      </c>
      <c r="H453" s="231">
        <f t="shared" si="66"/>
        <v>0</v>
      </c>
      <c r="I453" s="231">
        <f t="shared" si="66"/>
        <v>0</v>
      </c>
      <c r="J453" s="231">
        <f t="shared" si="66"/>
        <v>0</v>
      </c>
    </row>
    <row r="454" spans="1:10" ht="15" customHeight="1" x14ac:dyDescent="0.2">
      <c r="A454" s="222"/>
      <c r="B454" s="222" t="s">
        <v>1784</v>
      </c>
      <c r="C454" s="222"/>
      <c r="D454" s="222"/>
      <c r="E454" s="231">
        <f t="shared" ref="E454:J454" si="67">E146</f>
        <v>102521.94</v>
      </c>
      <c r="F454" s="231">
        <f t="shared" si="67"/>
        <v>109400</v>
      </c>
      <c r="G454" s="231">
        <f t="shared" si="67"/>
        <v>105300</v>
      </c>
      <c r="H454" s="231">
        <f t="shared" si="67"/>
        <v>37300</v>
      </c>
      <c r="I454" s="231">
        <f t="shared" si="67"/>
        <v>37300</v>
      </c>
      <c r="J454" s="231">
        <f t="shared" si="67"/>
        <v>37300</v>
      </c>
    </row>
    <row r="455" spans="1:10" ht="15" customHeight="1" x14ac:dyDescent="0.2">
      <c r="A455" s="222"/>
      <c r="B455" s="222" t="s">
        <v>1785</v>
      </c>
      <c r="C455" s="222"/>
      <c r="D455" s="222"/>
      <c r="E455" s="231">
        <f t="shared" ref="E455:J455" si="68">E225</f>
        <v>0</v>
      </c>
      <c r="F455" s="231">
        <f t="shared" si="68"/>
        <v>0</v>
      </c>
      <c r="G455" s="231">
        <f t="shared" si="68"/>
        <v>0</v>
      </c>
      <c r="H455" s="231">
        <f t="shared" si="68"/>
        <v>0</v>
      </c>
      <c r="I455" s="231">
        <f t="shared" si="68"/>
        <v>0</v>
      </c>
      <c r="J455" s="231">
        <f t="shared" si="68"/>
        <v>0</v>
      </c>
    </row>
    <row r="456" spans="1:10" ht="15" customHeight="1" x14ac:dyDescent="0.2">
      <c r="A456" s="222"/>
      <c r="B456" s="222" t="s">
        <v>1786</v>
      </c>
      <c r="C456" s="222"/>
      <c r="D456" s="222"/>
      <c r="E456" s="231">
        <f t="shared" ref="E456:J456" si="69">E312</f>
        <v>5045.67</v>
      </c>
      <c r="F456" s="231">
        <f t="shared" si="69"/>
        <v>4700</v>
      </c>
      <c r="G456" s="231">
        <f t="shared" si="69"/>
        <v>4700</v>
      </c>
      <c r="H456" s="231">
        <f t="shared" si="69"/>
        <v>59100</v>
      </c>
      <c r="I456" s="231">
        <f t="shared" si="69"/>
        <v>59100</v>
      </c>
      <c r="J456" s="231">
        <f t="shared" si="69"/>
        <v>59100</v>
      </c>
    </row>
    <row r="457" spans="1:10" ht="15" customHeight="1" x14ac:dyDescent="0.2">
      <c r="A457" s="222"/>
      <c r="B457" s="233" t="s">
        <v>1787</v>
      </c>
      <c r="C457" s="233"/>
      <c r="D457" s="233"/>
      <c r="E457" s="231">
        <f t="shared" ref="E457:J457" si="70">E390</f>
        <v>0</v>
      </c>
      <c r="F457" s="231">
        <f t="shared" si="70"/>
        <v>0</v>
      </c>
      <c r="G457" s="231">
        <f t="shared" si="70"/>
        <v>0</v>
      </c>
      <c r="H457" s="231">
        <f t="shared" si="70"/>
        <v>0</v>
      </c>
      <c r="I457" s="231">
        <f t="shared" si="70"/>
        <v>0</v>
      </c>
      <c r="J457" s="231">
        <f t="shared" si="70"/>
        <v>0</v>
      </c>
    </row>
    <row r="458" spans="1:10" ht="15" customHeight="1" thickBot="1" x14ac:dyDescent="0.25">
      <c r="A458" s="229"/>
      <c r="B458" s="229"/>
      <c r="C458" s="229" t="s">
        <v>386</v>
      </c>
      <c r="D458" s="239"/>
      <c r="E458" s="236">
        <f t="shared" ref="E458:J458" si="71">SUM(E453:E457)</f>
        <v>107567.61</v>
      </c>
      <c r="F458" s="236">
        <f t="shared" si="71"/>
        <v>114100</v>
      </c>
      <c r="G458" s="236">
        <f t="shared" si="71"/>
        <v>110000</v>
      </c>
      <c r="H458" s="236">
        <f t="shared" si="71"/>
        <v>96400</v>
      </c>
      <c r="I458" s="236">
        <f t="shared" si="71"/>
        <v>96400</v>
      </c>
      <c r="J458" s="236">
        <f t="shared" si="71"/>
        <v>96400</v>
      </c>
    </row>
    <row r="459" spans="1:10" ht="15" customHeight="1" x14ac:dyDescent="0.2">
      <c r="A459" s="229" t="s">
        <v>387</v>
      </c>
      <c r="B459" s="222"/>
      <c r="C459" s="222"/>
      <c r="D459" s="240"/>
      <c r="E459" s="241"/>
      <c r="F459" s="241"/>
      <c r="G459" s="241"/>
      <c r="H459" s="241"/>
      <c r="I459" s="241"/>
      <c r="J459" s="241"/>
    </row>
    <row r="460" spans="1:10" x14ac:dyDescent="0.2">
      <c r="A460" s="222"/>
      <c r="B460" s="222" t="s">
        <v>501</v>
      </c>
      <c r="C460" s="222"/>
      <c r="D460" s="222"/>
      <c r="E460" s="231">
        <f t="shared" ref="E460:J460" si="72">E74</f>
        <v>57154.28</v>
      </c>
      <c r="F460" s="231">
        <f t="shared" si="72"/>
        <v>59400</v>
      </c>
      <c r="G460" s="231">
        <f t="shared" si="72"/>
        <v>53300</v>
      </c>
      <c r="H460" s="231">
        <f t="shared" si="72"/>
        <v>64400</v>
      </c>
      <c r="I460" s="231">
        <f t="shared" si="72"/>
        <v>64400</v>
      </c>
      <c r="J460" s="231">
        <f t="shared" si="72"/>
        <v>64400</v>
      </c>
    </row>
    <row r="461" spans="1:10" ht="15" customHeight="1" x14ac:dyDescent="0.2">
      <c r="A461" s="222"/>
      <c r="B461" s="222" t="s">
        <v>1930</v>
      </c>
      <c r="C461" s="222"/>
      <c r="D461" s="222"/>
      <c r="E461" s="231">
        <f t="shared" ref="E461:J461" si="73">E147</f>
        <v>383830.53</v>
      </c>
      <c r="F461" s="231">
        <f t="shared" si="73"/>
        <v>417100</v>
      </c>
      <c r="G461" s="231">
        <f t="shared" si="73"/>
        <v>392600</v>
      </c>
      <c r="H461" s="231">
        <f t="shared" si="73"/>
        <v>451400</v>
      </c>
      <c r="I461" s="231">
        <f t="shared" si="73"/>
        <v>451400</v>
      </c>
      <c r="J461" s="231">
        <f t="shared" si="73"/>
        <v>451400</v>
      </c>
    </row>
    <row r="462" spans="1:10" ht="15" customHeight="1" x14ac:dyDescent="0.2">
      <c r="A462" s="222"/>
      <c r="B462" s="222" t="s">
        <v>1785</v>
      </c>
      <c r="C462" s="222"/>
      <c r="D462" s="222"/>
      <c r="E462" s="231">
        <f t="shared" ref="E462:J462" si="74">E226</f>
        <v>612814.92000000004</v>
      </c>
      <c r="F462" s="231">
        <f t="shared" si="74"/>
        <v>610900</v>
      </c>
      <c r="G462" s="231">
        <f t="shared" si="74"/>
        <v>570300</v>
      </c>
      <c r="H462" s="231">
        <f t="shared" si="74"/>
        <v>649900</v>
      </c>
      <c r="I462" s="231">
        <f t="shared" si="74"/>
        <v>639100</v>
      </c>
      <c r="J462" s="231">
        <f t="shared" si="74"/>
        <v>639100</v>
      </c>
    </row>
    <row r="463" spans="1:10" ht="15" customHeight="1" x14ac:dyDescent="0.2">
      <c r="A463" s="222"/>
      <c r="B463" s="222" t="s">
        <v>1786</v>
      </c>
      <c r="C463" s="222"/>
      <c r="D463" s="222"/>
      <c r="E463" s="231">
        <f t="shared" ref="E463:J463" si="75">E313</f>
        <v>78015.05</v>
      </c>
      <c r="F463" s="231">
        <f t="shared" si="75"/>
        <v>95700</v>
      </c>
      <c r="G463" s="231">
        <f t="shared" si="75"/>
        <v>90600</v>
      </c>
      <c r="H463" s="231">
        <f t="shared" si="75"/>
        <v>152000</v>
      </c>
      <c r="I463" s="231">
        <f t="shared" si="75"/>
        <v>152000</v>
      </c>
      <c r="J463" s="231">
        <f t="shared" si="75"/>
        <v>152000</v>
      </c>
    </row>
    <row r="464" spans="1:10" ht="15" customHeight="1" x14ac:dyDescent="0.2">
      <c r="A464" s="222"/>
      <c r="B464" s="233" t="s">
        <v>1787</v>
      </c>
      <c r="C464" s="233"/>
      <c r="D464" s="233"/>
      <c r="E464" s="231">
        <f t="shared" ref="E464:J464" si="76">E391</f>
        <v>34254.910000000003</v>
      </c>
      <c r="F464" s="231">
        <f t="shared" si="76"/>
        <v>39600</v>
      </c>
      <c r="G464" s="231">
        <f t="shared" si="76"/>
        <v>37000</v>
      </c>
      <c r="H464" s="231">
        <f t="shared" si="76"/>
        <v>43000</v>
      </c>
      <c r="I464" s="231">
        <f t="shared" si="76"/>
        <v>43000</v>
      </c>
      <c r="J464" s="231">
        <f t="shared" si="76"/>
        <v>43000</v>
      </c>
    </row>
    <row r="465" spans="1:10" ht="15" thickBot="1" x14ac:dyDescent="0.25">
      <c r="A465" s="222"/>
      <c r="B465" s="222"/>
      <c r="C465" s="229" t="s">
        <v>388</v>
      </c>
      <c r="D465" s="240"/>
      <c r="E465" s="236">
        <f t="shared" ref="E465:J465" si="77">SUM(E460:E464)</f>
        <v>1166069.69</v>
      </c>
      <c r="F465" s="236">
        <f t="shared" si="77"/>
        <v>1222700</v>
      </c>
      <c r="G465" s="236">
        <f t="shared" si="77"/>
        <v>1143800</v>
      </c>
      <c r="H465" s="236">
        <f t="shared" si="77"/>
        <v>1360700</v>
      </c>
      <c r="I465" s="236">
        <f t="shared" si="77"/>
        <v>1349900</v>
      </c>
      <c r="J465" s="236">
        <f t="shared" si="77"/>
        <v>1349900</v>
      </c>
    </row>
    <row r="466" spans="1:10" ht="15" customHeight="1" x14ac:dyDescent="0.2">
      <c r="A466" s="229" t="s">
        <v>198</v>
      </c>
      <c r="B466" s="229"/>
      <c r="C466" s="222"/>
      <c r="D466" s="240"/>
      <c r="E466" s="242"/>
      <c r="F466" s="242"/>
      <c r="G466" s="242"/>
      <c r="H466" s="242"/>
      <c r="I466" s="242"/>
      <c r="J466" s="242"/>
    </row>
    <row r="467" spans="1:10" x14ac:dyDescent="0.2">
      <c r="A467" s="222"/>
      <c r="B467" s="222" t="s">
        <v>501</v>
      </c>
      <c r="C467" s="222"/>
      <c r="D467" s="222"/>
      <c r="E467" s="231">
        <f t="shared" ref="E467:J467" si="78">E75</f>
        <v>0</v>
      </c>
      <c r="F467" s="231">
        <f t="shared" si="78"/>
        <v>0</v>
      </c>
      <c r="G467" s="231">
        <f t="shared" si="78"/>
        <v>0</v>
      </c>
      <c r="H467" s="231">
        <f t="shared" si="78"/>
        <v>0</v>
      </c>
      <c r="I467" s="231">
        <f t="shared" si="78"/>
        <v>0</v>
      </c>
      <c r="J467" s="231">
        <f t="shared" si="78"/>
        <v>0</v>
      </c>
    </row>
    <row r="468" spans="1:10" x14ac:dyDescent="0.2">
      <c r="A468" s="222"/>
      <c r="B468" s="222" t="s">
        <v>1784</v>
      </c>
      <c r="C468" s="222"/>
      <c r="D468" s="222"/>
      <c r="E468" s="231">
        <f t="shared" ref="E468:J468" si="79">E148</f>
        <v>22401</v>
      </c>
      <c r="F468" s="231">
        <f t="shared" si="79"/>
        <v>63100</v>
      </c>
      <c r="G468" s="231">
        <f t="shared" si="79"/>
        <v>63100</v>
      </c>
      <c r="H468" s="231">
        <f t="shared" si="79"/>
        <v>30100</v>
      </c>
      <c r="I468" s="231">
        <f t="shared" si="79"/>
        <v>52400</v>
      </c>
      <c r="J468" s="231">
        <f t="shared" si="79"/>
        <v>30100</v>
      </c>
    </row>
    <row r="469" spans="1:10" x14ac:dyDescent="0.2">
      <c r="A469" s="222"/>
      <c r="B469" s="222" t="s">
        <v>1785</v>
      </c>
      <c r="C469" s="222"/>
      <c r="D469" s="222"/>
      <c r="E469" s="231">
        <f t="shared" ref="E469:J469" si="80">E227</f>
        <v>63552</v>
      </c>
      <c r="F469" s="231">
        <f t="shared" si="80"/>
        <v>147400</v>
      </c>
      <c r="G469" s="231">
        <f t="shared" si="80"/>
        <v>124100</v>
      </c>
      <c r="H469" s="231">
        <f t="shared" si="80"/>
        <v>90000</v>
      </c>
      <c r="I469" s="231">
        <f t="shared" si="80"/>
        <v>130000</v>
      </c>
      <c r="J469" s="231">
        <f t="shared" si="80"/>
        <v>0</v>
      </c>
    </row>
    <row r="470" spans="1:10" ht="15" customHeight="1" x14ac:dyDescent="0.2">
      <c r="A470" s="222"/>
      <c r="B470" s="222" t="s">
        <v>1786</v>
      </c>
      <c r="C470" s="222"/>
      <c r="D470" s="222"/>
      <c r="E470" s="231">
        <f t="shared" ref="E470:J470" si="81">E314</f>
        <v>0</v>
      </c>
      <c r="F470" s="231">
        <f t="shared" si="81"/>
        <v>18600</v>
      </c>
      <c r="G470" s="231">
        <f t="shared" si="81"/>
        <v>18500</v>
      </c>
      <c r="H470" s="231">
        <f t="shared" si="81"/>
        <v>10000</v>
      </c>
      <c r="I470" s="231">
        <f t="shared" si="81"/>
        <v>0</v>
      </c>
      <c r="J470" s="231">
        <f t="shared" si="81"/>
        <v>105500</v>
      </c>
    </row>
    <row r="471" spans="1:10" x14ac:dyDescent="0.2">
      <c r="A471" s="222"/>
      <c r="B471" s="233" t="s">
        <v>1787</v>
      </c>
      <c r="C471" s="233"/>
      <c r="D471" s="233"/>
      <c r="E471" s="231">
        <f t="shared" ref="E471:J471" si="82">E392</f>
        <v>5598</v>
      </c>
      <c r="F471" s="231">
        <f t="shared" si="82"/>
        <v>5600</v>
      </c>
      <c r="G471" s="231">
        <f t="shared" si="82"/>
        <v>5600</v>
      </c>
      <c r="H471" s="231">
        <f t="shared" si="82"/>
        <v>20400</v>
      </c>
      <c r="I471" s="231">
        <f t="shared" si="82"/>
        <v>5600</v>
      </c>
      <c r="J471" s="231">
        <f t="shared" si="82"/>
        <v>20400</v>
      </c>
    </row>
    <row r="472" spans="1:10" ht="15" customHeight="1" thickBot="1" x14ac:dyDescent="0.25">
      <c r="A472" s="222"/>
      <c r="B472" s="222"/>
      <c r="C472" s="229" t="s">
        <v>389</v>
      </c>
      <c r="D472" s="240"/>
      <c r="E472" s="236">
        <f t="shared" ref="E472:J472" si="83">SUM(E467:E471)</f>
        <v>91551</v>
      </c>
      <c r="F472" s="236">
        <f t="shared" si="83"/>
        <v>234700</v>
      </c>
      <c r="G472" s="236">
        <f t="shared" si="83"/>
        <v>211300</v>
      </c>
      <c r="H472" s="236">
        <f t="shared" si="83"/>
        <v>150500</v>
      </c>
      <c r="I472" s="236">
        <f t="shared" si="83"/>
        <v>188000</v>
      </c>
      <c r="J472" s="236">
        <f t="shared" si="83"/>
        <v>156000</v>
      </c>
    </row>
    <row r="473" spans="1:10" x14ac:dyDescent="0.2">
      <c r="A473" s="243" t="s">
        <v>296</v>
      </c>
      <c r="B473" s="229"/>
      <c r="C473" s="222"/>
      <c r="D473" s="240"/>
      <c r="E473" s="242"/>
      <c r="F473" s="242"/>
      <c r="G473" s="242"/>
      <c r="H473" s="242"/>
      <c r="I473" s="242"/>
      <c r="J473" s="242"/>
    </row>
    <row r="474" spans="1:10" x14ac:dyDescent="0.2">
      <c r="A474" s="233"/>
      <c r="B474" s="222" t="s">
        <v>501</v>
      </c>
      <c r="C474" s="222"/>
      <c r="D474" s="222"/>
      <c r="E474" s="231">
        <f t="shared" ref="E474:J474" si="84">E91</f>
        <v>330294.39999999997</v>
      </c>
      <c r="F474" s="231">
        <f t="shared" si="84"/>
        <v>4608300</v>
      </c>
      <c r="G474" s="231">
        <f t="shared" si="84"/>
        <v>4185500</v>
      </c>
      <c r="H474" s="231">
        <f t="shared" si="84"/>
        <v>2755300</v>
      </c>
      <c r="I474" s="231">
        <f t="shared" si="84"/>
        <v>544900</v>
      </c>
      <c r="J474" s="231">
        <f t="shared" si="84"/>
        <v>544900</v>
      </c>
    </row>
    <row r="475" spans="1:10" ht="15" customHeight="1" x14ac:dyDescent="0.2">
      <c r="A475" s="233"/>
      <c r="B475" s="222" t="s">
        <v>1784</v>
      </c>
      <c r="C475" s="222"/>
      <c r="D475" s="222"/>
      <c r="E475" s="231">
        <f t="shared" ref="E475:J475" si="85">E157</f>
        <v>342319.54</v>
      </c>
      <c r="F475" s="231">
        <f t="shared" si="85"/>
        <v>333000</v>
      </c>
      <c r="G475" s="231">
        <f t="shared" si="85"/>
        <v>336100</v>
      </c>
      <c r="H475" s="231">
        <f t="shared" si="85"/>
        <v>373000</v>
      </c>
      <c r="I475" s="231">
        <f t="shared" si="85"/>
        <v>363000</v>
      </c>
      <c r="J475" s="231">
        <f t="shared" si="85"/>
        <v>363000</v>
      </c>
    </row>
    <row r="476" spans="1:10" x14ac:dyDescent="0.2">
      <c r="A476" s="233"/>
      <c r="B476" s="222" t="s">
        <v>1785</v>
      </c>
      <c r="C476" s="222"/>
      <c r="D476" s="222"/>
      <c r="E476" s="231">
        <f t="shared" ref="E476:J476" si="86">E240</f>
        <v>2202605.8900000006</v>
      </c>
      <c r="F476" s="231">
        <f t="shared" si="86"/>
        <v>1830000</v>
      </c>
      <c r="G476" s="231">
        <f t="shared" si="86"/>
        <v>2868300</v>
      </c>
      <c r="H476" s="231">
        <f t="shared" si="86"/>
        <v>3268200</v>
      </c>
      <c r="I476" s="231">
        <f t="shared" si="86"/>
        <v>3268200</v>
      </c>
      <c r="J476" s="231">
        <f t="shared" si="86"/>
        <v>3268200</v>
      </c>
    </row>
    <row r="477" spans="1:10" ht="15" customHeight="1" x14ac:dyDescent="0.2">
      <c r="A477" s="233"/>
      <c r="B477" s="222" t="s">
        <v>1786</v>
      </c>
      <c r="C477" s="222"/>
      <c r="D477" s="222"/>
      <c r="E477" s="231">
        <f t="shared" ref="E477:J477" si="87">E332</f>
        <v>4076253.07</v>
      </c>
      <c r="F477" s="231">
        <f t="shared" si="87"/>
        <v>4639000</v>
      </c>
      <c r="G477" s="231">
        <f t="shared" si="87"/>
        <v>4665900</v>
      </c>
      <c r="H477" s="231">
        <f t="shared" si="87"/>
        <v>4855600</v>
      </c>
      <c r="I477" s="231">
        <f t="shared" si="87"/>
        <v>4855600</v>
      </c>
      <c r="J477" s="231">
        <f t="shared" si="87"/>
        <v>4855600</v>
      </c>
    </row>
    <row r="478" spans="1:10" ht="15" customHeight="1" x14ac:dyDescent="0.2">
      <c r="A478" s="222"/>
      <c r="B478" s="233" t="s">
        <v>1787</v>
      </c>
      <c r="C478" s="233"/>
      <c r="D478" s="233"/>
      <c r="E478" s="231">
        <f t="shared" ref="E478:J478" si="88">E401</f>
        <v>1146045.08</v>
      </c>
      <c r="F478" s="231">
        <f t="shared" si="88"/>
        <v>1024400</v>
      </c>
      <c r="G478" s="231">
        <f t="shared" si="88"/>
        <v>1029300</v>
      </c>
      <c r="H478" s="231">
        <f t="shared" si="88"/>
        <v>1054400</v>
      </c>
      <c r="I478" s="231">
        <f t="shared" si="88"/>
        <v>1044400</v>
      </c>
      <c r="J478" s="231">
        <f t="shared" si="88"/>
        <v>1044400</v>
      </c>
    </row>
    <row r="479" spans="1:10" ht="15" thickBot="1" x14ac:dyDescent="0.25">
      <c r="A479" s="222"/>
      <c r="B479" s="222"/>
      <c r="C479" s="222" t="s">
        <v>390</v>
      </c>
      <c r="D479" s="235"/>
      <c r="E479" s="236">
        <f t="shared" ref="E479:J479" si="89">SUM(E474:E478)</f>
        <v>8097517.9800000004</v>
      </c>
      <c r="F479" s="236">
        <f t="shared" si="89"/>
        <v>12434700</v>
      </c>
      <c r="G479" s="236">
        <f t="shared" si="89"/>
        <v>13085100</v>
      </c>
      <c r="H479" s="236">
        <f t="shared" si="89"/>
        <v>12306500</v>
      </c>
      <c r="I479" s="236">
        <f t="shared" si="89"/>
        <v>10076100</v>
      </c>
      <c r="J479" s="236">
        <f t="shared" si="89"/>
        <v>10076100</v>
      </c>
    </row>
    <row r="480" spans="1:10" x14ac:dyDescent="0.2">
      <c r="A480" s="244" t="s">
        <v>15</v>
      </c>
      <c r="B480" s="222"/>
      <c r="C480" s="222"/>
      <c r="D480" s="240"/>
      <c r="E480" s="242"/>
      <c r="F480" s="242"/>
      <c r="G480" s="242"/>
      <c r="H480" s="242"/>
      <c r="I480" s="242"/>
      <c r="J480" s="242"/>
    </row>
    <row r="481" spans="1:10" x14ac:dyDescent="0.2">
      <c r="A481" s="233"/>
      <c r="B481" s="222" t="s">
        <v>501</v>
      </c>
      <c r="C481" s="222"/>
      <c r="D481" s="222"/>
      <c r="E481" s="231">
        <f t="shared" ref="E481:J481" si="90">E99</f>
        <v>0</v>
      </c>
      <c r="F481" s="231">
        <f t="shared" si="90"/>
        <v>0</v>
      </c>
      <c r="G481" s="231">
        <f t="shared" si="90"/>
        <v>21300</v>
      </c>
      <c r="H481" s="231">
        <f t="shared" si="90"/>
        <v>393200</v>
      </c>
      <c r="I481" s="231">
        <f t="shared" si="90"/>
        <v>0</v>
      </c>
      <c r="J481" s="231">
        <f t="shared" si="90"/>
        <v>0</v>
      </c>
    </row>
    <row r="482" spans="1:10" x14ac:dyDescent="0.2">
      <c r="A482" s="233"/>
      <c r="B482" s="222" t="s">
        <v>1784</v>
      </c>
      <c r="C482" s="222"/>
      <c r="D482" s="222"/>
      <c r="E482" s="231">
        <f t="shared" ref="E482:J482" si="91">E165</f>
        <v>0</v>
      </c>
      <c r="F482" s="231">
        <f t="shared" si="91"/>
        <v>0</v>
      </c>
      <c r="G482" s="231">
        <f t="shared" si="91"/>
        <v>0</v>
      </c>
      <c r="H482" s="231">
        <f t="shared" si="91"/>
        <v>0</v>
      </c>
      <c r="I482" s="231">
        <f t="shared" si="91"/>
        <v>0</v>
      </c>
      <c r="J482" s="231">
        <f t="shared" si="91"/>
        <v>0</v>
      </c>
    </row>
    <row r="483" spans="1:10" x14ac:dyDescent="0.2">
      <c r="A483" s="233"/>
      <c r="B483" s="222" t="s">
        <v>1785</v>
      </c>
      <c r="C483" s="222"/>
      <c r="D483" s="222"/>
      <c r="E483" s="231">
        <f t="shared" ref="E483:J483" si="92">E248</f>
        <v>0</v>
      </c>
      <c r="F483" s="231">
        <f t="shared" si="92"/>
        <v>0</v>
      </c>
      <c r="G483" s="231">
        <f t="shared" si="92"/>
        <v>0</v>
      </c>
      <c r="H483" s="231">
        <f t="shared" si="92"/>
        <v>0</v>
      </c>
      <c r="I483" s="231">
        <f t="shared" si="92"/>
        <v>0</v>
      </c>
      <c r="J483" s="231">
        <f t="shared" si="92"/>
        <v>0</v>
      </c>
    </row>
    <row r="484" spans="1:10" ht="15" customHeight="1" x14ac:dyDescent="0.2">
      <c r="A484" s="233"/>
      <c r="B484" s="222" t="s">
        <v>1786</v>
      </c>
      <c r="C484" s="222"/>
      <c r="D484" s="222"/>
      <c r="E484" s="231">
        <f t="shared" ref="E484:J484" si="93">E339</f>
        <v>0</v>
      </c>
      <c r="F484" s="231">
        <f t="shared" si="93"/>
        <v>0</v>
      </c>
      <c r="G484" s="231">
        <f t="shared" si="93"/>
        <v>0</v>
      </c>
      <c r="H484" s="231">
        <f t="shared" si="93"/>
        <v>0</v>
      </c>
      <c r="I484" s="231">
        <f t="shared" si="93"/>
        <v>0</v>
      </c>
      <c r="J484" s="231">
        <f t="shared" si="93"/>
        <v>0</v>
      </c>
    </row>
    <row r="485" spans="1:10" x14ac:dyDescent="0.2">
      <c r="A485" s="233"/>
      <c r="B485" s="233" t="s">
        <v>1787</v>
      </c>
      <c r="C485" s="233"/>
      <c r="D485" s="233"/>
      <c r="E485" s="231">
        <f t="shared" ref="E485:J485" si="94">E409</f>
        <v>0</v>
      </c>
      <c r="F485" s="231">
        <f t="shared" si="94"/>
        <v>0</v>
      </c>
      <c r="G485" s="231">
        <f t="shared" si="94"/>
        <v>0</v>
      </c>
      <c r="H485" s="231">
        <f t="shared" si="94"/>
        <v>0</v>
      </c>
      <c r="I485" s="231">
        <f t="shared" si="94"/>
        <v>0</v>
      </c>
      <c r="J485" s="231">
        <f t="shared" si="94"/>
        <v>0</v>
      </c>
    </row>
    <row r="486" spans="1:10" ht="15" thickBot="1" x14ac:dyDescent="0.25">
      <c r="A486" s="243"/>
      <c r="B486" s="243" t="s">
        <v>69</v>
      </c>
      <c r="C486" s="240"/>
      <c r="D486" s="222"/>
      <c r="E486" s="236">
        <f t="shared" ref="E486:J486" si="95">SUM(E481:E485)</f>
        <v>0</v>
      </c>
      <c r="F486" s="236">
        <f t="shared" si="95"/>
        <v>0</v>
      </c>
      <c r="G486" s="236">
        <f t="shared" si="95"/>
        <v>21300</v>
      </c>
      <c r="H486" s="236">
        <f t="shared" si="95"/>
        <v>393200</v>
      </c>
      <c r="I486" s="236">
        <f t="shared" si="95"/>
        <v>0</v>
      </c>
      <c r="J486" s="236">
        <f t="shared" si="95"/>
        <v>0</v>
      </c>
    </row>
    <row r="487" spans="1:10" x14ac:dyDescent="0.2">
      <c r="A487" s="222"/>
      <c r="B487" s="222"/>
      <c r="C487" s="222"/>
      <c r="D487" s="222"/>
      <c r="E487" s="242"/>
      <c r="F487" s="242"/>
      <c r="G487" s="242"/>
      <c r="H487" s="227"/>
      <c r="I487" s="227"/>
      <c r="J487" s="227"/>
    </row>
    <row r="488" spans="1:10" ht="15" thickBot="1" x14ac:dyDescent="0.25">
      <c r="A488" s="222"/>
      <c r="B488" s="222"/>
      <c r="C488" s="222"/>
      <c r="D488" s="222"/>
      <c r="E488" s="240"/>
      <c r="F488" s="276" t="s">
        <v>391</v>
      </c>
      <c r="G488" s="240"/>
      <c r="H488" s="240"/>
      <c r="I488" s="245"/>
      <c r="J488" s="245"/>
    </row>
    <row r="489" spans="1:10" ht="15" customHeight="1" thickTop="1" x14ac:dyDescent="0.2">
      <c r="A489" s="246"/>
      <c r="B489" s="246"/>
      <c r="C489" s="246"/>
      <c r="D489" s="246"/>
      <c r="E489" s="246"/>
      <c r="F489" s="277"/>
      <c r="G489" s="246"/>
      <c r="H489" s="246"/>
      <c r="I489" s="246"/>
      <c r="J489" s="246"/>
    </row>
    <row r="490" spans="1:10" x14ac:dyDescent="0.2">
      <c r="A490" s="247"/>
      <c r="B490" s="247">
        <v>210</v>
      </c>
      <c r="C490" s="222" t="s">
        <v>7</v>
      </c>
      <c r="D490" s="222"/>
      <c r="E490" s="231">
        <f t="shared" ref="E490:J505" si="96">SUMIF($A$54:$A$891,$B490,E$54:E$891)</f>
        <v>6506576.46</v>
      </c>
      <c r="F490" s="231">
        <f t="shared" si="96"/>
        <v>6960000</v>
      </c>
      <c r="G490" s="231">
        <f t="shared" si="96"/>
        <v>6527400</v>
      </c>
      <c r="H490" s="231">
        <f t="shared" si="96"/>
        <v>7436200</v>
      </c>
      <c r="I490" s="231">
        <f t="shared" si="96"/>
        <v>7758600</v>
      </c>
      <c r="J490" s="231">
        <f t="shared" si="96"/>
        <v>7844700</v>
      </c>
    </row>
    <row r="491" spans="1:10" x14ac:dyDescent="0.2">
      <c r="A491" s="247"/>
      <c r="B491" s="247">
        <v>212</v>
      </c>
      <c r="C491" s="222" t="s">
        <v>9</v>
      </c>
      <c r="D491" s="222"/>
      <c r="E491" s="231">
        <f t="shared" si="96"/>
        <v>107567.61</v>
      </c>
      <c r="F491" s="231">
        <f t="shared" si="96"/>
        <v>114100</v>
      </c>
      <c r="G491" s="231">
        <f t="shared" si="96"/>
        <v>110000</v>
      </c>
      <c r="H491" s="231">
        <f t="shared" si="96"/>
        <v>96400</v>
      </c>
      <c r="I491" s="231">
        <f t="shared" si="96"/>
        <v>96400</v>
      </c>
      <c r="J491" s="231">
        <f t="shared" si="96"/>
        <v>96400</v>
      </c>
    </row>
    <row r="492" spans="1:10" x14ac:dyDescent="0.2">
      <c r="A492" s="247"/>
      <c r="B492" s="247">
        <v>213</v>
      </c>
      <c r="C492" s="222" t="s">
        <v>201</v>
      </c>
      <c r="D492" s="222"/>
      <c r="E492" s="231">
        <f t="shared" si="96"/>
        <v>0</v>
      </c>
      <c r="F492" s="231">
        <f t="shared" si="96"/>
        <v>0</v>
      </c>
      <c r="G492" s="231">
        <f t="shared" si="96"/>
        <v>0</v>
      </c>
      <c r="H492" s="231">
        <f t="shared" si="96"/>
        <v>0</v>
      </c>
      <c r="I492" s="231">
        <f t="shared" si="96"/>
        <v>0</v>
      </c>
      <c r="J492" s="231">
        <f t="shared" si="96"/>
        <v>0</v>
      </c>
    </row>
    <row r="493" spans="1:10" x14ac:dyDescent="0.2">
      <c r="A493" s="247"/>
      <c r="B493" s="247">
        <v>216</v>
      </c>
      <c r="C493" s="222" t="s">
        <v>10</v>
      </c>
      <c r="D493" s="222"/>
      <c r="E493" s="231">
        <f t="shared" si="96"/>
        <v>1166069.69</v>
      </c>
      <c r="F493" s="231">
        <f t="shared" si="96"/>
        <v>1222700</v>
      </c>
      <c r="G493" s="231">
        <f t="shared" si="96"/>
        <v>1143800</v>
      </c>
      <c r="H493" s="231">
        <f t="shared" si="96"/>
        <v>1360700</v>
      </c>
      <c r="I493" s="231">
        <f t="shared" si="96"/>
        <v>1349900</v>
      </c>
      <c r="J493" s="231">
        <f t="shared" si="96"/>
        <v>1349900</v>
      </c>
    </row>
    <row r="494" spans="1:10" x14ac:dyDescent="0.2">
      <c r="A494" s="247"/>
      <c r="B494" s="247">
        <v>218</v>
      </c>
      <c r="C494" s="222" t="s">
        <v>202</v>
      </c>
      <c r="D494" s="222"/>
      <c r="E494" s="231">
        <f t="shared" si="96"/>
        <v>91551</v>
      </c>
      <c r="F494" s="231">
        <f t="shared" si="96"/>
        <v>234700</v>
      </c>
      <c r="G494" s="231">
        <f t="shared" si="96"/>
        <v>211300</v>
      </c>
      <c r="H494" s="231">
        <f t="shared" si="96"/>
        <v>150500</v>
      </c>
      <c r="I494" s="231">
        <f t="shared" si="96"/>
        <v>188000</v>
      </c>
      <c r="J494" s="231">
        <f t="shared" si="96"/>
        <v>156000</v>
      </c>
    </row>
    <row r="495" spans="1:10" x14ac:dyDescent="0.2">
      <c r="A495" s="247"/>
      <c r="B495" s="247">
        <v>219</v>
      </c>
      <c r="C495" s="222" t="s">
        <v>203</v>
      </c>
      <c r="D495" s="222"/>
      <c r="E495" s="231">
        <f t="shared" si="96"/>
        <v>0</v>
      </c>
      <c r="F495" s="231">
        <f t="shared" si="96"/>
        <v>0</v>
      </c>
      <c r="G495" s="231">
        <f t="shared" si="96"/>
        <v>0</v>
      </c>
      <c r="H495" s="231">
        <f t="shared" si="96"/>
        <v>0</v>
      </c>
      <c r="I495" s="231">
        <f t="shared" si="96"/>
        <v>0</v>
      </c>
      <c r="J495" s="231">
        <f t="shared" si="96"/>
        <v>0</v>
      </c>
    </row>
    <row r="496" spans="1:10" x14ac:dyDescent="0.2">
      <c r="A496" s="247"/>
      <c r="B496" s="247">
        <v>220</v>
      </c>
      <c r="C496" s="222" t="s">
        <v>204</v>
      </c>
      <c r="D496" s="222"/>
      <c r="E496" s="231">
        <f t="shared" si="96"/>
        <v>2846.77</v>
      </c>
      <c r="F496" s="231">
        <f t="shared" si="96"/>
        <v>6000</v>
      </c>
      <c r="G496" s="231">
        <f t="shared" si="96"/>
        <v>4500</v>
      </c>
      <c r="H496" s="231">
        <f t="shared" si="96"/>
        <v>6000</v>
      </c>
      <c r="I496" s="231">
        <f t="shared" si="96"/>
        <v>6000</v>
      </c>
      <c r="J496" s="231">
        <f t="shared" si="96"/>
        <v>6000</v>
      </c>
    </row>
    <row r="497" spans="1:10" x14ac:dyDescent="0.2">
      <c r="A497" s="247"/>
      <c r="B497" s="247">
        <v>222</v>
      </c>
      <c r="C497" s="222" t="s">
        <v>205</v>
      </c>
      <c r="D497" s="222"/>
      <c r="E497" s="231">
        <f t="shared" si="96"/>
        <v>64580.21</v>
      </c>
      <c r="F497" s="231">
        <f t="shared" si="96"/>
        <v>60000</v>
      </c>
      <c r="G497" s="231">
        <f t="shared" si="96"/>
        <v>59500</v>
      </c>
      <c r="H497" s="231">
        <f t="shared" si="96"/>
        <v>75000</v>
      </c>
      <c r="I497" s="231">
        <f t="shared" si="96"/>
        <v>75000</v>
      </c>
      <c r="J497" s="231">
        <f t="shared" si="96"/>
        <v>75000</v>
      </c>
    </row>
    <row r="498" spans="1:10" x14ac:dyDescent="0.2">
      <c r="A498" s="247"/>
      <c r="B498" s="247">
        <v>224</v>
      </c>
      <c r="C498" s="222" t="s">
        <v>206</v>
      </c>
      <c r="D498" s="222"/>
      <c r="E498" s="231">
        <f t="shared" si="96"/>
        <v>131965.97999999998</v>
      </c>
      <c r="F498" s="231">
        <f t="shared" si="96"/>
        <v>288500</v>
      </c>
      <c r="G498" s="231">
        <f t="shared" si="96"/>
        <v>142800</v>
      </c>
      <c r="H498" s="231">
        <f t="shared" si="96"/>
        <v>183300</v>
      </c>
      <c r="I498" s="231">
        <f t="shared" si="96"/>
        <v>183300</v>
      </c>
      <c r="J498" s="231">
        <f t="shared" si="96"/>
        <v>183300</v>
      </c>
    </row>
    <row r="499" spans="1:10" x14ac:dyDescent="0.2">
      <c r="A499" s="247"/>
      <c r="B499" s="247">
        <v>226</v>
      </c>
      <c r="C499" s="222" t="s">
        <v>207</v>
      </c>
      <c r="D499" s="222"/>
      <c r="E499" s="231">
        <f t="shared" si="96"/>
        <v>118390.97</v>
      </c>
      <c r="F499" s="231">
        <f t="shared" si="96"/>
        <v>112500</v>
      </c>
      <c r="G499" s="231">
        <f t="shared" si="96"/>
        <v>106800</v>
      </c>
      <c r="H499" s="231">
        <f t="shared" si="96"/>
        <v>129800</v>
      </c>
      <c r="I499" s="231">
        <f t="shared" si="96"/>
        <v>129800</v>
      </c>
      <c r="J499" s="231">
        <f t="shared" si="96"/>
        <v>129800</v>
      </c>
    </row>
    <row r="500" spans="1:10" x14ac:dyDescent="0.2">
      <c r="A500" s="247"/>
      <c r="B500" s="247">
        <v>228</v>
      </c>
      <c r="C500" s="222" t="s">
        <v>208</v>
      </c>
      <c r="D500" s="222"/>
      <c r="E500" s="231">
        <f t="shared" si="96"/>
        <v>1722955.2500000002</v>
      </c>
      <c r="F500" s="231">
        <f t="shared" si="96"/>
        <v>1346000</v>
      </c>
      <c r="G500" s="231">
        <f t="shared" si="96"/>
        <v>2144400</v>
      </c>
      <c r="H500" s="231">
        <f t="shared" si="96"/>
        <v>2180000</v>
      </c>
      <c r="I500" s="231">
        <f t="shared" si="96"/>
        <v>2180000</v>
      </c>
      <c r="J500" s="231">
        <f t="shared" si="96"/>
        <v>2180000</v>
      </c>
    </row>
    <row r="501" spans="1:10" x14ac:dyDescent="0.2">
      <c r="A501" s="247"/>
      <c r="B501" s="247">
        <v>229</v>
      </c>
      <c r="C501" s="222" t="s">
        <v>209</v>
      </c>
      <c r="D501" s="222"/>
      <c r="E501" s="231">
        <f t="shared" si="96"/>
        <v>79811.820000000007</v>
      </c>
      <c r="F501" s="231">
        <f t="shared" si="96"/>
        <v>3180700</v>
      </c>
      <c r="G501" s="231">
        <f t="shared" si="96"/>
        <v>2486000</v>
      </c>
      <c r="H501" s="231">
        <f t="shared" si="96"/>
        <v>1702600</v>
      </c>
      <c r="I501" s="231">
        <f t="shared" si="96"/>
        <v>495700</v>
      </c>
      <c r="J501" s="231">
        <f t="shared" si="96"/>
        <v>495700</v>
      </c>
    </row>
    <row r="502" spans="1:10" x14ac:dyDescent="0.2">
      <c r="A502" s="247"/>
      <c r="B502" s="247">
        <v>230</v>
      </c>
      <c r="C502" s="222" t="s">
        <v>210</v>
      </c>
      <c r="D502" s="222"/>
      <c r="E502" s="231">
        <f t="shared" si="96"/>
        <v>28394.75</v>
      </c>
      <c r="F502" s="231">
        <f t="shared" si="96"/>
        <v>31000</v>
      </c>
      <c r="G502" s="231">
        <f t="shared" si="96"/>
        <v>34800</v>
      </c>
      <c r="H502" s="231">
        <f t="shared" si="96"/>
        <v>33000</v>
      </c>
      <c r="I502" s="231">
        <f t="shared" si="96"/>
        <v>33000</v>
      </c>
      <c r="J502" s="231">
        <f t="shared" si="96"/>
        <v>33000</v>
      </c>
    </row>
    <row r="503" spans="1:10" x14ac:dyDescent="0.2">
      <c r="A503" s="247"/>
      <c r="B503" s="247">
        <v>232</v>
      </c>
      <c r="C503" s="222" t="s">
        <v>211</v>
      </c>
      <c r="D503" s="222"/>
      <c r="E503" s="231">
        <f t="shared" si="96"/>
        <v>331767.08999999997</v>
      </c>
      <c r="F503" s="231">
        <f t="shared" si="96"/>
        <v>501800</v>
      </c>
      <c r="G503" s="231">
        <f t="shared" si="96"/>
        <v>793600</v>
      </c>
      <c r="H503" s="231">
        <f t="shared" si="96"/>
        <v>790000</v>
      </c>
      <c r="I503" s="231">
        <f t="shared" si="96"/>
        <v>790000</v>
      </c>
      <c r="J503" s="231">
        <f t="shared" si="96"/>
        <v>790000</v>
      </c>
    </row>
    <row r="504" spans="1:10" x14ac:dyDescent="0.2">
      <c r="A504" s="247"/>
      <c r="B504" s="247">
        <v>234</v>
      </c>
      <c r="C504" s="222" t="s">
        <v>212</v>
      </c>
      <c r="D504" s="222"/>
      <c r="E504" s="231">
        <f t="shared" si="96"/>
        <v>79450.5</v>
      </c>
      <c r="F504" s="231">
        <f t="shared" si="96"/>
        <v>80000</v>
      </c>
      <c r="G504" s="231">
        <f t="shared" si="96"/>
        <v>76800</v>
      </c>
      <c r="H504" s="231">
        <f t="shared" si="96"/>
        <v>197800</v>
      </c>
      <c r="I504" s="231">
        <f t="shared" si="96"/>
        <v>197800</v>
      </c>
      <c r="J504" s="231">
        <f t="shared" si="96"/>
        <v>197800</v>
      </c>
    </row>
    <row r="505" spans="1:10" x14ac:dyDescent="0.2">
      <c r="A505" s="247"/>
      <c r="B505" s="247">
        <v>236</v>
      </c>
      <c r="C505" s="222" t="s">
        <v>213</v>
      </c>
      <c r="D505" s="222"/>
      <c r="E505" s="231">
        <f t="shared" si="96"/>
        <v>1498481.44</v>
      </c>
      <c r="F505" s="231">
        <f t="shared" si="96"/>
        <v>2187400</v>
      </c>
      <c r="G505" s="231">
        <f t="shared" si="96"/>
        <v>1763000</v>
      </c>
      <c r="H505" s="231">
        <f t="shared" si="96"/>
        <v>2351500</v>
      </c>
      <c r="I505" s="231">
        <f t="shared" si="96"/>
        <v>1304000</v>
      </c>
      <c r="J505" s="231">
        <f t="shared" si="96"/>
        <v>1304000</v>
      </c>
    </row>
    <row r="506" spans="1:10" x14ac:dyDescent="0.2">
      <c r="A506" s="247"/>
      <c r="B506" s="247">
        <v>238</v>
      </c>
      <c r="C506" s="222" t="s">
        <v>214</v>
      </c>
      <c r="D506" s="222"/>
      <c r="E506" s="231">
        <f t="shared" ref="E506:J521" si="97">SUMIF($A$54:$A$891,$B506,E$54:E$891)</f>
        <v>6825</v>
      </c>
      <c r="F506" s="231">
        <f t="shared" si="97"/>
        <v>8900</v>
      </c>
      <c r="G506" s="231">
        <f t="shared" si="97"/>
        <v>6900</v>
      </c>
      <c r="H506" s="231">
        <f t="shared" si="97"/>
        <v>6900</v>
      </c>
      <c r="I506" s="231">
        <f t="shared" si="97"/>
        <v>6900</v>
      </c>
      <c r="J506" s="231">
        <f t="shared" si="97"/>
        <v>6900</v>
      </c>
    </row>
    <row r="507" spans="1:10" x14ac:dyDescent="0.2">
      <c r="A507" s="247"/>
      <c r="B507" s="247">
        <v>240</v>
      </c>
      <c r="C507" s="222" t="s">
        <v>215</v>
      </c>
      <c r="D507" s="222"/>
      <c r="E507" s="231">
        <f t="shared" si="97"/>
        <v>0</v>
      </c>
      <c r="F507" s="231">
        <f t="shared" si="97"/>
        <v>0</v>
      </c>
      <c r="G507" s="231">
        <f t="shared" si="97"/>
        <v>0</v>
      </c>
      <c r="H507" s="231">
        <f t="shared" si="97"/>
        <v>0</v>
      </c>
      <c r="I507" s="231">
        <f t="shared" si="97"/>
        <v>0</v>
      </c>
      <c r="J507" s="231">
        <f t="shared" si="97"/>
        <v>0</v>
      </c>
    </row>
    <row r="508" spans="1:10" x14ac:dyDescent="0.2">
      <c r="A508" s="247"/>
      <c r="B508" s="247">
        <v>242</v>
      </c>
      <c r="C508" s="222" t="s">
        <v>216</v>
      </c>
      <c r="D508" s="222"/>
      <c r="E508" s="231">
        <f t="shared" si="97"/>
        <v>0</v>
      </c>
      <c r="F508" s="231">
        <f t="shared" si="97"/>
        <v>0</v>
      </c>
      <c r="G508" s="231">
        <f t="shared" si="97"/>
        <v>0</v>
      </c>
      <c r="H508" s="231">
        <f t="shared" si="97"/>
        <v>0</v>
      </c>
      <c r="I508" s="231">
        <f t="shared" si="97"/>
        <v>0</v>
      </c>
      <c r="J508" s="231">
        <f t="shared" si="97"/>
        <v>0</v>
      </c>
    </row>
    <row r="509" spans="1:10" x14ac:dyDescent="0.2">
      <c r="A509" s="247"/>
      <c r="B509" s="247">
        <v>244</v>
      </c>
      <c r="C509" s="222" t="s">
        <v>217</v>
      </c>
      <c r="D509" s="222"/>
      <c r="E509" s="231">
        <f t="shared" si="97"/>
        <v>0</v>
      </c>
      <c r="F509" s="231">
        <f t="shared" si="97"/>
        <v>0</v>
      </c>
      <c r="G509" s="231">
        <f t="shared" si="97"/>
        <v>0</v>
      </c>
      <c r="H509" s="231">
        <f t="shared" si="97"/>
        <v>0</v>
      </c>
      <c r="I509" s="231">
        <f t="shared" si="97"/>
        <v>0</v>
      </c>
      <c r="J509" s="231">
        <f t="shared" si="97"/>
        <v>0</v>
      </c>
    </row>
    <row r="510" spans="1:10" x14ac:dyDescent="0.2">
      <c r="A510" s="247"/>
      <c r="B510" s="247">
        <v>246</v>
      </c>
      <c r="C510" s="222" t="s">
        <v>218</v>
      </c>
      <c r="D510" s="222"/>
      <c r="E510" s="231">
        <f t="shared" si="97"/>
        <v>18951.989999999998</v>
      </c>
      <c r="F510" s="231">
        <f t="shared" si="97"/>
        <v>19000</v>
      </c>
      <c r="G510" s="231">
        <f t="shared" si="97"/>
        <v>18200</v>
      </c>
      <c r="H510" s="231">
        <f t="shared" si="97"/>
        <v>22500</v>
      </c>
      <c r="I510" s="231">
        <f t="shared" si="97"/>
        <v>22500</v>
      </c>
      <c r="J510" s="231">
        <f t="shared" si="97"/>
        <v>22500</v>
      </c>
    </row>
    <row r="511" spans="1:10" x14ac:dyDescent="0.2">
      <c r="A511" s="247"/>
      <c r="B511" s="247">
        <v>247</v>
      </c>
      <c r="C511" s="222" t="s">
        <v>219</v>
      </c>
      <c r="D511" s="222"/>
      <c r="E511" s="231">
        <f t="shared" si="97"/>
        <v>0</v>
      </c>
      <c r="F511" s="231">
        <f t="shared" si="97"/>
        <v>0</v>
      </c>
      <c r="G511" s="231">
        <f t="shared" si="97"/>
        <v>0</v>
      </c>
      <c r="H511" s="231">
        <f t="shared" si="97"/>
        <v>0</v>
      </c>
      <c r="I511" s="231">
        <f t="shared" si="97"/>
        <v>0</v>
      </c>
      <c r="J511" s="231">
        <f t="shared" si="97"/>
        <v>0</v>
      </c>
    </row>
    <row r="512" spans="1:10" x14ac:dyDescent="0.2">
      <c r="A512" s="247"/>
      <c r="B512" s="247">
        <v>260</v>
      </c>
      <c r="C512" s="222" t="s">
        <v>220</v>
      </c>
      <c r="D512" s="222"/>
      <c r="E512" s="231">
        <f t="shared" si="97"/>
        <v>10000</v>
      </c>
      <c r="F512" s="231">
        <f t="shared" si="97"/>
        <v>11000</v>
      </c>
      <c r="G512" s="231">
        <f t="shared" si="97"/>
        <v>10500</v>
      </c>
      <c r="H512" s="231">
        <f t="shared" si="97"/>
        <v>11000</v>
      </c>
      <c r="I512" s="231">
        <f t="shared" si="97"/>
        <v>11000</v>
      </c>
      <c r="J512" s="231">
        <f t="shared" si="97"/>
        <v>11000</v>
      </c>
    </row>
    <row r="513" spans="1:10" x14ac:dyDescent="0.2">
      <c r="A513" s="247"/>
      <c r="B513" s="247">
        <v>261</v>
      </c>
      <c r="C513" s="222" t="s">
        <v>221</v>
      </c>
      <c r="D513" s="222"/>
      <c r="E513" s="231">
        <f t="shared" si="97"/>
        <v>720000</v>
      </c>
      <c r="F513" s="231">
        <f t="shared" si="97"/>
        <v>660000</v>
      </c>
      <c r="G513" s="231">
        <f t="shared" si="97"/>
        <v>660000</v>
      </c>
      <c r="H513" s="231">
        <f t="shared" si="97"/>
        <v>660000</v>
      </c>
      <c r="I513" s="231">
        <f t="shared" si="97"/>
        <v>660000</v>
      </c>
      <c r="J513" s="231">
        <f t="shared" si="97"/>
        <v>660000</v>
      </c>
    </row>
    <row r="514" spans="1:10" x14ac:dyDescent="0.2">
      <c r="A514" s="247"/>
      <c r="B514" s="247">
        <v>265</v>
      </c>
      <c r="C514" s="222" t="s">
        <v>222</v>
      </c>
      <c r="D514" s="222"/>
      <c r="E514" s="231">
        <f t="shared" si="97"/>
        <v>3213083.02</v>
      </c>
      <c r="F514" s="231">
        <f t="shared" si="97"/>
        <v>3811300</v>
      </c>
      <c r="G514" s="231">
        <f t="shared" si="97"/>
        <v>4665300</v>
      </c>
      <c r="H514" s="231">
        <f t="shared" si="97"/>
        <v>3841300</v>
      </c>
      <c r="I514" s="231">
        <f t="shared" si="97"/>
        <v>3841300</v>
      </c>
      <c r="J514" s="231">
        <f t="shared" si="97"/>
        <v>3841300</v>
      </c>
    </row>
    <row r="515" spans="1:10" x14ac:dyDescent="0.2">
      <c r="A515" s="247"/>
      <c r="B515" s="247">
        <v>266</v>
      </c>
      <c r="C515" s="222" t="s">
        <v>223</v>
      </c>
      <c r="D515" s="222"/>
      <c r="E515" s="231">
        <f t="shared" si="97"/>
        <v>32540.11</v>
      </c>
      <c r="F515" s="231">
        <f t="shared" si="97"/>
        <v>74000</v>
      </c>
      <c r="G515" s="231">
        <f t="shared" si="97"/>
        <v>56200</v>
      </c>
      <c r="H515" s="231">
        <f t="shared" si="97"/>
        <v>50000</v>
      </c>
      <c r="I515" s="231">
        <f t="shared" si="97"/>
        <v>74000</v>
      </c>
      <c r="J515" s="231">
        <f t="shared" si="97"/>
        <v>74000</v>
      </c>
    </row>
    <row r="516" spans="1:10" x14ac:dyDescent="0.2">
      <c r="A516" s="247"/>
      <c r="B516" s="247">
        <v>270</v>
      </c>
      <c r="C516" s="222" t="s">
        <v>224</v>
      </c>
      <c r="D516" s="222"/>
      <c r="E516" s="231">
        <f t="shared" si="97"/>
        <v>0</v>
      </c>
      <c r="F516" s="231">
        <f t="shared" si="97"/>
        <v>0</v>
      </c>
      <c r="G516" s="231">
        <f t="shared" si="97"/>
        <v>0</v>
      </c>
      <c r="H516" s="231">
        <f t="shared" si="97"/>
        <v>0</v>
      </c>
      <c r="I516" s="231">
        <f t="shared" si="97"/>
        <v>0</v>
      </c>
      <c r="J516" s="231">
        <f t="shared" si="97"/>
        <v>0</v>
      </c>
    </row>
    <row r="517" spans="1:10" x14ac:dyDescent="0.2">
      <c r="A517" s="247"/>
      <c r="B517" s="247">
        <v>272</v>
      </c>
      <c r="C517" s="222" t="s">
        <v>225</v>
      </c>
      <c r="D517" s="222"/>
      <c r="E517" s="231">
        <f t="shared" si="97"/>
        <v>0</v>
      </c>
      <c r="F517" s="231">
        <f t="shared" si="97"/>
        <v>0</v>
      </c>
      <c r="G517" s="231">
        <f t="shared" si="97"/>
        <v>0</v>
      </c>
      <c r="H517" s="231">
        <f t="shared" si="97"/>
        <v>0</v>
      </c>
      <c r="I517" s="231">
        <f t="shared" si="97"/>
        <v>0</v>
      </c>
      <c r="J517" s="231">
        <f t="shared" si="97"/>
        <v>0</v>
      </c>
    </row>
    <row r="518" spans="1:10" x14ac:dyDescent="0.2">
      <c r="A518" s="247"/>
      <c r="B518" s="247">
        <v>273</v>
      </c>
      <c r="C518" s="222" t="s">
        <v>226</v>
      </c>
      <c r="D518" s="222"/>
      <c r="E518" s="231">
        <f t="shared" si="97"/>
        <v>0</v>
      </c>
      <c r="F518" s="231">
        <f t="shared" si="97"/>
        <v>0</v>
      </c>
      <c r="G518" s="231">
        <f t="shared" si="97"/>
        <v>0</v>
      </c>
      <c r="H518" s="231">
        <f t="shared" si="97"/>
        <v>0</v>
      </c>
      <c r="I518" s="231">
        <f t="shared" si="97"/>
        <v>0</v>
      </c>
      <c r="J518" s="231">
        <f t="shared" si="97"/>
        <v>0</v>
      </c>
    </row>
    <row r="519" spans="1:10" x14ac:dyDescent="0.2">
      <c r="A519" s="247"/>
      <c r="B519" s="247">
        <v>274</v>
      </c>
      <c r="C519" s="222" t="s">
        <v>227</v>
      </c>
      <c r="D519" s="222"/>
      <c r="E519" s="231">
        <f t="shared" si="97"/>
        <v>0</v>
      </c>
      <c r="F519" s="231">
        <f t="shared" si="97"/>
        <v>0</v>
      </c>
      <c r="G519" s="231">
        <f t="shared" si="97"/>
        <v>0</v>
      </c>
      <c r="H519" s="231">
        <f t="shared" si="97"/>
        <v>0</v>
      </c>
      <c r="I519" s="231">
        <f t="shared" si="97"/>
        <v>0</v>
      </c>
      <c r="J519" s="231">
        <f t="shared" si="97"/>
        <v>0</v>
      </c>
    </row>
    <row r="520" spans="1:10" x14ac:dyDescent="0.2">
      <c r="A520" s="247"/>
      <c r="B520" s="247">
        <v>275</v>
      </c>
      <c r="C520" s="222" t="s">
        <v>228</v>
      </c>
      <c r="D520" s="222"/>
      <c r="E520" s="231">
        <f t="shared" si="97"/>
        <v>13132.79</v>
      </c>
      <c r="F520" s="231">
        <f t="shared" si="97"/>
        <v>16600</v>
      </c>
      <c r="G520" s="231">
        <f t="shared" si="97"/>
        <v>16600</v>
      </c>
      <c r="H520" s="231">
        <f t="shared" si="97"/>
        <v>25800</v>
      </c>
      <c r="I520" s="231">
        <f t="shared" si="97"/>
        <v>25800</v>
      </c>
      <c r="J520" s="231">
        <f t="shared" si="97"/>
        <v>25800</v>
      </c>
    </row>
    <row r="521" spans="1:10" x14ac:dyDescent="0.2">
      <c r="A521" s="247"/>
      <c r="B521" s="247">
        <v>276</v>
      </c>
      <c r="C521" s="222" t="s">
        <v>229</v>
      </c>
      <c r="D521" s="222"/>
      <c r="E521" s="231">
        <f t="shared" si="97"/>
        <v>0</v>
      </c>
      <c r="F521" s="231">
        <f t="shared" si="97"/>
        <v>0</v>
      </c>
      <c r="G521" s="231">
        <f t="shared" si="97"/>
        <v>0</v>
      </c>
      <c r="H521" s="231">
        <f t="shared" si="97"/>
        <v>0</v>
      </c>
      <c r="I521" s="231">
        <f t="shared" si="97"/>
        <v>0</v>
      </c>
      <c r="J521" s="231">
        <f t="shared" si="97"/>
        <v>0</v>
      </c>
    </row>
    <row r="522" spans="1:10" x14ac:dyDescent="0.2">
      <c r="A522" s="247"/>
      <c r="B522" s="247">
        <v>277</v>
      </c>
      <c r="C522" s="222" t="s">
        <v>230</v>
      </c>
      <c r="D522" s="222"/>
      <c r="E522" s="231">
        <f t="shared" ref="E522:J533" si="98">SUMIF($A$54:$A$891,$B522,E$54:E$891)</f>
        <v>0</v>
      </c>
      <c r="F522" s="231">
        <f t="shared" si="98"/>
        <v>0</v>
      </c>
      <c r="G522" s="231">
        <f t="shared" si="98"/>
        <v>0</v>
      </c>
      <c r="H522" s="231">
        <f t="shared" si="98"/>
        <v>0</v>
      </c>
      <c r="I522" s="231">
        <f t="shared" si="98"/>
        <v>0</v>
      </c>
      <c r="J522" s="231">
        <f t="shared" si="98"/>
        <v>0</v>
      </c>
    </row>
    <row r="523" spans="1:10" x14ac:dyDescent="0.2">
      <c r="A523" s="247"/>
      <c r="B523" s="247">
        <v>278</v>
      </c>
      <c r="C523" s="222" t="s">
        <v>231</v>
      </c>
      <c r="D523" s="222"/>
      <c r="E523" s="231">
        <f t="shared" si="98"/>
        <v>0</v>
      </c>
      <c r="F523" s="231">
        <f t="shared" si="98"/>
        <v>0</v>
      </c>
      <c r="G523" s="231">
        <f t="shared" si="98"/>
        <v>0</v>
      </c>
      <c r="H523" s="231">
        <f t="shared" si="98"/>
        <v>0</v>
      </c>
      <c r="I523" s="231">
        <f t="shared" si="98"/>
        <v>0</v>
      </c>
      <c r="J523" s="231">
        <f t="shared" si="98"/>
        <v>0</v>
      </c>
    </row>
    <row r="524" spans="1:10" x14ac:dyDescent="0.2">
      <c r="A524" s="247"/>
      <c r="B524" s="247">
        <v>279</v>
      </c>
      <c r="C524" s="222" t="s">
        <v>232</v>
      </c>
      <c r="D524" s="222"/>
      <c r="E524" s="231">
        <f t="shared" si="98"/>
        <v>0</v>
      </c>
      <c r="F524" s="231">
        <f t="shared" si="98"/>
        <v>0</v>
      </c>
      <c r="G524" s="231">
        <f t="shared" si="98"/>
        <v>0</v>
      </c>
      <c r="H524" s="231">
        <f t="shared" si="98"/>
        <v>0</v>
      </c>
      <c r="I524" s="231">
        <f t="shared" si="98"/>
        <v>0</v>
      </c>
      <c r="J524" s="231">
        <f t="shared" si="98"/>
        <v>0</v>
      </c>
    </row>
    <row r="525" spans="1:10" x14ac:dyDescent="0.2">
      <c r="A525" s="247"/>
      <c r="B525" s="247">
        <v>280</v>
      </c>
      <c r="C525" s="222" t="s">
        <v>233</v>
      </c>
      <c r="D525" s="222"/>
      <c r="E525" s="231">
        <f t="shared" si="98"/>
        <v>15664.92</v>
      </c>
      <c r="F525" s="231">
        <f t="shared" si="98"/>
        <v>30000</v>
      </c>
      <c r="G525" s="231">
        <f t="shared" si="98"/>
        <v>32200</v>
      </c>
      <c r="H525" s="231">
        <f t="shared" si="98"/>
        <v>30000</v>
      </c>
      <c r="I525" s="231">
        <f t="shared" si="98"/>
        <v>30000</v>
      </c>
      <c r="J525" s="231">
        <f t="shared" si="98"/>
        <v>30000</v>
      </c>
    </row>
    <row r="526" spans="1:10" x14ac:dyDescent="0.2">
      <c r="A526" s="247"/>
      <c r="B526" s="247">
        <v>281</v>
      </c>
      <c r="C526" s="222" t="s">
        <v>234</v>
      </c>
      <c r="D526" s="222"/>
      <c r="E526" s="231">
        <f t="shared" si="98"/>
        <v>8675.3700000000008</v>
      </c>
      <c r="F526" s="231">
        <f t="shared" si="98"/>
        <v>10000</v>
      </c>
      <c r="G526" s="231">
        <f t="shared" si="98"/>
        <v>7000</v>
      </c>
      <c r="H526" s="231">
        <f t="shared" si="98"/>
        <v>10000</v>
      </c>
      <c r="I526" s="231">
        <f t="shared" si="98"/>
        <v>10000</v>
      </c>
      <c r="J526" s="231">
        <f t="shared" si="98"/>
        <v>10000</v>
      </c>
    </row>
    <row r="527" spans="1:10" x14ac:dyDescent="0.2">
      <c r="A527" s="247"/>
      <c r="B527" s="247">
        <v>282</v>
      </c>
      <c r="C527" s="222" t="s">
        <v>235</v>
      </c>
      <c r="D527" s="222"/>
      <c r="E527" s="231">
        <f t="shared" si="98"/>
        <v>0</v>
      </c>
      <c r="F527" s="231">
        <f t="shared" si="98"/>
        <v>0</v>
      </c>
      <c r="G527" s="231">
        <f t="shared" si="98"/>
        <v>0</v>
      </c>
      <c r="H527" s="231">
        <f t="shared" si="98"/>
        <v>0</v>
      </c>
      <c r="I527" s="231">
        <f t="shared" si="98"/>
        <v>0</v>
      </c>
      <c r="J527" s="231">
        <f t="shared" si="98"/>
        <v>0</v>
      </c>
    </row>
    <row r="528" spans="1:10" x14ac:dyDescent="0.2">
      <c r="A528" s="247"/>
      <c r="B528" s="247">
        <v>283</v>
      </c>
      <c r="C528" s="222" t="s">
        <v>236</v>
      </c>
      <c r="D528" s="222"/>
      <c r="E528" s="231">
        <f t="shared" si="98"/>
        <v>0</v>
      </c>
      <c r="F528" s="231">
        <f t="shared" si="98"/>
        <v>0</v>
      </c>
      <c r="G528" s="231">
        <f t="shared" si="98"/>
        <v>0</v>
      </c>
      <c r="H528" s="231">
        <f t="shared" si="98"/>
        <v>0</v>
      </c>
      <c r="I528" s="231">
        <f t="shared" si="98"/>
        <v>0</v>
      </c>
      <c r="J528" s="231">
        <f t="shared" si="98"/>
        <v>0</v>
      </c>
    </row>
    <row r="529" spans="1:10" x14ac:dyDescent="0.2">
      <c r="A529" s="247"/>
      <c r="B529" s="247">
        <v>290</v>
      </c>
      <c r="C529" s="222" t="s">
        <v>238</v>
      </c>
      <c r="D529" s="222"/>
      <c r="E529" s="231">
        <f t="shared" si="98"/>
        <v>0</v>
      </c>
      <c r="F529" s="231">
        <f t="shared" si="98"/>
        <v>0</v>
      </c>
      <c r="G529" s="231">
        <f t="shared" si="98"/>
        <v>0</v>
      </c>
      <c r="H529" s="231">
        <f t="shared" si="98"/>
        <v>0</v>
      </c>
      <c r="I529" s="231">
        <f t="shared" si="98"/>
        <v>0</v>
      </c>
      <c r="J529" s="231">
        <f t="shared" si="98"/>
        <v>0</v>
      </c>
    </row>
    <row r="530" spans="1:10" x14ac:dyDescent="0.2">
      <c r="A530" s="247"/>
      <c r="B530" s="247">
        <v>292</v>
      </c>
      <c r="C530" s="222" t="s">
        <v>239</v>
      </c>
      <c r="D530" s="222"/>
      <c r="E530" s="231">
        <f t="shared" si="98"/>
        <v>0</v>
      </c>
      <c r="F530" s="231">
        <f t="shared" si="98"/>
        <v>0</v>
      </c>
      <c r="G530" s="231">
        <f t="shared" si="98"/>
        <v>0</v>
      </c>
      <c r="H530" s="231">
        <f t="shared" si="98"/>
        <v>0</v>
      </c>
      <c r="I530" s="231">
        <f t="shared" si="98"/>
        <v>0</v>
      </c>
      <c r="J530" s="231">
        <f t="shared" si="98"/>
        <v>0</v>
      </c>
    </row>
    <row r="531" spans="1:10" x14ac:dyDescent="0.2">
      <c r="A531" s="247"/>
      <c r="B531" s="247">
        <v>293</v>
      </c>
      <c r="C531" s="222" t="s">
        <v>240</v>
      </c>
      <c r="D531" s="222"/>
      <c r="E531" s="231">
        <f t="shared" si="98"/>
        <v>0</v>
      </c>
      <c r="F531" s="231">
        <f t="shared" si="98"/>
        <v>0</v>
      </c>
      <c r="G531" s="231">
        <f t="shared" si="98"/>
        <v>0</v>
      </c>
      <c r="H531" s="231">
        <f t="shared" si="98"/>
        <v>0</v>
      </c>
      <c r="I531" s="231">
        <f t="shared" si="98"/>
        <v>0</v>
      </c>
      <c r="J531" s="231">
        <f t="shared" si="98"/>
        <v>0</v>
      </c>
    </row>
    <row r="532" spans="1:10" x14ac:dyDescent="0.2">
      <c r="A532" s="222"/>
      <c r="B532" s="247"/>
      <c r="C532" s="229" t="s">
        <v>1931</v>
      </c>
      <c r="D532" s="240"/>
      <c r="E532" s="248">
        <f t="shared" ref="E532:J532" si="99">SUM(E490:E531)</f>
        <v>15969282.739999996</v>
      </c>
      <c r="F532" s="248">
        <f t="shared" si="99"/>
        <v>20966200</v>
      </c>
      <c r="G532" s="248">
        <f t="shared" si="99"/>
        <v>21077600</v>
      </c>
      <c r="H532" s="248">
        <f t="shared" si="99"/>
        <v>21350300</v>
      </c>
      <c r="I532" s="248">
        <f t="shared" si="99"/>
        <v>19469000</v>
      </c>
      <c r="J532" s="248">
        <f t="shared" si="99"/>
        <v>19523100</v>
      </c>
    </row>
    <row r="534" spans="1:10" ht="15" customHeight="1" x14ac:dyDescent="0.2"/>
    <row r="536" spans="1:10" ht="15" customHeight="1" x14ac:dyDescent="0.2"/>
  </sheetData>
  <mergeCells count="502">
    <mergeCell ref="A439:E439"/>
    <mergeCell ref="A440:E440"/>
    <mergeCell ref="A441:E441"/>
    <mergeCell ref="A442:J442"/>
    <mergeCell ref="A433:E433"/>
    <mergeCell ref="A434:E434"/>
    <mergeCell ref="A435:E435"/>
    <mergeCell ref="A436:E436"/>
    <mergeCell ref="A437:E437"/>
    <mergeCell ref="A438:J438"/>
    <mergeCell ref="A427:J427"/>
    <mergeCell ref="A428:J428"/>
    <mergeCell ref="A429:J429"/>
    <mergeCell ref="A430:J430"/>
    <mergeCell ref="A431:E431"/>
    <mergeCell ref="A432:J432"/>
    <mergeCell ref="A421:J421"/>
    <mergeCell ref="A422:J422"/>
    <mergeCell ref="A423:J423"/>
    <mergeCell ref="A424:J424"/>
    <mergeCell ref="A425:J425"/>
    <mergeCell ref="A426:J426"/>
    <mergeCell ref="A416:C416"/>
    <mergeCell ref="F416:H416"/>
    <mergeCell ref="A417:I417"/>
    <mergeCell ref="A418:J418"/>
    <mergeCell ref="A419:J419"/>
    <mergeCell ref="A420:J420"/>
    <mergeCell ref="A413:C413"/>
    <mergeCell ref="F413:H413"/>
    <mergeCell ref="A414:C414"/>
    <mergeCell ref="F414:H414"/>
    <mergeCell ref="A415:C415"/>
    <mergeCell ref="F415:H415"/>
    <mergeCell ref="C407:D407"/>
    <mergeCell ref="C408:D408"/>
    <mergeCell ref="A409:D409"/>
    <mergeCell ref="A410:J410"/>
    <mergeCell ref="A411:J411"/>
    <mergeCell ref="A412:C412"/>
    <mergeCell ref="F412:H412"/>
    <mergeCell ref="A404:J404"/>
    <mergeCell ref="A405:D405"/>
    <mergeCell ref="E405:E406"/>
    <mergeCell ref="F405:F406"/>
    <mergeCell ref="G405:G406"/>
    <mergeCell ref="H405:H406"/>
    <mergeCell ref="I405:I406"/>
    <mergeCell ref="J405:J406"/>
    <mergeCell ref="C406:D406"/>
    <mergeCell ref="B398:D398"/>
    <mergeCell ref="B399:D399"/>
    <mergeCell ref="B400:D400"/>
    <mergeCell ref="A401:D401"/>
    <mergeCell ref="A402:D402"/>
    <mergeCell ref="A403:I403"/>
    <mergeCell ref="B392:D392"/>
    <mergeCell ref="A393:D393"/>
    <mergeCell ref="A394:I394"/>
    <mergeCell ref="B395:D395"/>
    <mergeCell ref="B396:D396"/>
    <mergeCell ref="B397:D397"/>
    <mergeCell ref="A386:J386"/>
    <mergeCell ref="B387:D387"/>
    <mergeCell ref="A388:I388"/>
    <mergeCell ref="B389:D389"/>
    <mergeCell ref="B390:D390"/>
    <mergeCell ref="B391:D391"/>
    <mergeCell ref="A380:J380"/>
    <mergeCell ref="A381:J381"/>
    <mergeCell ref="B382:D382"/>
    <mergeCell ref="B383:D383"/>
    <mergeCell ref="A384:D384"/>
    <mergeCell ref="A385:J385"/>
    <mergeCell ref="A374:E374"/>
    <mergeCell ref="A375:E375"/>
    <mergeCell ref="A376:E376"/>
    <mergeCell ref="A377:J377"/>
    <mergeCell ref="A378:J378"/>
    <mergeCell ref="A379:J379"/>
    <mergeCell ref="A368:E368"/>
    <mergeCell ref="A369:E369"/>
    <mergeCell ref="A370:E370"/>
    <mergeCell ref="A371:J371"/>
    <mergeCell ref="A372:E372"/>
    <mergeCell ref="A373:E373"/>
    <mergeCell ref="A362:E362"/>
    <mergeCell ref="A363:J363"/>
    <mergeCell ref="A364:E364"/>
    <mergeCell ref="A365:E365"/>
    <mergeCell ref="A366:E366"/>
    <mergeCell ref="A367:E367"/>
    <mergeCell ref="A356:J356"/>
    <mergeCell ref="A357:J357"/>
    <mergeCell ref="A358:J358"/>
    <mergeCell ref="A359:J359"/>
    <mergeCell ref="A360:J360"/>
    <mergeCell ref="A361:J361"/>
    <mergeCell ref="A350:J350"/>
    <mergeCell ref="A351:J351"/>
    <mergeCell ref="A352:J352"/>
    <mergeCell ref="A353:J353"/>
    <mergeCell ref="A354:J354"/>
    <mergeCell ref="A355:J355"/>
    <mergeCell ref="A346:C346"/>
    <mergeCell ref="F346:H346"/>
    <mergeCell ref="A347:C347"/>
    <mergeCell ref="F347:H347"/>
    <mergeCell ref="A348:I348"/>
    <mergeCell ref="A349:J349"/>
    <mergeCell ref="A343:C343"/>
    <mergeCell ref="F343:H343"/>
    <mergeCell ref="A344:C344"/>
    <mergeCell ref="F344:H344"/>
    <mergeCell ref="A345:C345"/>
    <mergeCell ref="F345:H345"/>
    <mergeCell ref="C337:D337"/>
    <mergeCell ref="C338:D338"/>
    <mergeCell ref="A339:D339"/>
    <mergeCell ref="A340:J340"/>
    <mergeCell ref="A341:J341"/>
    <mergeCell ref="A342:C342"/>
    <mergeCell ref="F342:H342"/>
    <mergeCell ref="A333:D333"/>
    <mergeCell ref="A334:J334"/>
    <mergeCell ref="A335:J335"/>
    <mergeCell ref="A336:D336"/>
    <mergeCell ref="E336:E337"/>
    <mergeCell ref="F336:F337"/>
    <mergeCell ref="G336:G337"/>
    <mergeCell ref="H336:H337"/>
    <mergeCell ref="I336:I337"/>
    <mergeCell ref="J336:J337"/>
    <mergeCell ref="B312:D312"/>
    <mergeCell ref="B313:D313"/>
    <mergeCell ref="B314:D314"/>
    <mergeCell ref="A315:D315"/>
    <mergeCell ref="A316:I316"/>
    <mergeCell ref="A332:D332"/>
    <mergeCell ref="A306:D306"/>
    <mergeCell ref="A307:J307"/>
    <mergeCell ref="A308:J308"/>
    <mergeCell ref="B309:D309"/>
    <mergeCell ref="A310:I310"/>
    <mergeCell ref="B311:D311"/>
    <mergeCell ref="A300:J300"/>
    <mergeCell ref="A301:J301"/>
    <mergeCell ref="A302:J302"/>
    <mergeCell ref="A303:J303"/>
    <mergeCell ref="B304:D304"/>
    <mergeCell ref="B305:D305"/>
    <mergeCell ref="A294:J294"/>
    <mergeCell ref="A295:E295"/>
    <mergeCell ref="A296:E296"/>
    <mergeCell ref="A297:E297"/>
    <mergeCell ref="A298:E298"/>
    <mergeCell ref="A299:J299"/>
    <mergeCell ref="A288:J288"/>
    <mergeCell ref="A289:E289"/>
    <mergeCell ref="A290:E290"/>
    <mergeCell ref="A291:E291"/>
    <mergeCell ref="A292:E292"/>
    <mergeCell ref="A293:E293"/>
    <mergeCell ref="A282:J282"/>
    <mergeCell ref="A283:J283"/>
    <mergeCell ref="A284:J284"/>
    <mergeCell ref="A285:J285"/>
    <mergeCell ref="A286:J286"/>
    <mergeCell ref="A287:E287"/>
    <mergeCell ref="A276:J276"/>
    <mergeCell ref="A277:J277"/>
    <mergeCell ref="A278:J278"/>
    <mergeCell ref="A279:J279"/>
    <mergeCell ref="A280:J280"/>
    <mergeCell ref="A281:J281"/>
    <mergeCell ref="A272:C272"/>
    <mergeCell ref="F272:H272"/>
    <mergeCell ref="A273:C273"/>
    <mergeCell ref="F273:H273"/>
    <mergeCell ref="A274:I274"/>
    <mergeCell ref="A275:J275"/>
    <mergeCell ref="A269:C269"/>
    <mergeCell ref="F269:H269"/>
    <mergeCell ref="A270:C270"/>
    <mergeCell ref="F270:H270"/>
    <mergeCell ref="A271:C271"/>
    <mergeCell ref="F271:H271"/>
    <mergeCell ref="A266:C266"/>
    <mergeCell ref="F266:H266"/>
    <mergeCell ref="A267:C267"/>
    <mergeCell ref="F267:H267"/>
    <mergeCell ref="A268:C268"/>
    <mergeCell ref="F268:H268"/>
    <mergeCell ref="A263:C263"/>
    <mergeCell ref="F263:H263"/>
    <mergeCell ref="A264:C264"/>
    <mergeCell ref="F264:H264"/>
    <mergeCell ref="A265:C265"/>
    <mergeCell ref="F265:H265"/>
    <mergeCell ref="A260:C260"/>
    <mergeCell ref="F260:H260"/>
    <mergeCell ref="A261:C261"/>
    <mergeCell ref="F261:H261"/>
    <mergeCell ref="A262:C262"/>
    <mergeCell ref="F262:H262"/>
    <mergeCell ref="A257:C257"/>
    <mergeCell ref="F257:H257"/>
    <mergeCell ref="A258:C258"/>
    <mergeCell ref="F258:H258"/>
    <mergeCell ref="A259:C259"/>
    <mergeCell ref="F259:H259"/>
    <mergeCell ref="A254:C254"/>
    <mergeCell ref="F254:H254"/>
    <mergeCell ref="A255:C255"/>
    <mergeCell ref="F255:H255"/>
    <mergeCell ref="A256:C256"/>
    <mergeCell ref="F256:H256"/>
    <mergeCell ref="A250:J250"/>
    <mergeCell ref="A251:C251"/>
    <mergeCell ref="F251:H251"/>
    <mergeCell ref="A252:C252"/>
    <mergeCell ref="F252:H252"/>
    <mergeCell ref="A253:C253"/>
    <mergeCell ref="F253:H253"/>
    <mergeCell ref="J244:J245"/>
    <mergeCell ref="C245:D245"/>
    <mergeCell ref="C246:D246"/>
    <mergeCell ref="C247:D247"/>
    <mergeCell ref="A248:D248"/>
    <mergeCell ref="A249:J249"/>
    <mergeCell ref="A244:D244"/>
    <mergeCell ref="E244:E245"/>
    <mergeCell ref="F244:F245"/>
    <mergeCell ref="G244:G245"/>
    <mergeCell ref="H244:H245"/>
    <mergeCell ref="I244:I245"/>
    <mergeCell ref="B238:D238"/>
    <mergeCell ref="B239:D239"/>
    <mergeCell ref="A240:D240"/>
    <mergeCell ref="A241:D241"/>
    <mergeCell ref="A242:I242"/>
    <mergeCell ref="A243:J243"/>
    <mergeCell ref="B232:D232"/>
    <mergeCell ref="B233:D233"/>
    <mergeCell ref="B234:D234"/>
    <mergeCell ref="B235:D235"/>
    <mergeCell ref="B236:D236"/>
    <mergeCell ref="B237:D237"/>
    <mergeCell ref="B226:D226"/>
    <mergeCell ref="B227:D227"/>
    <mergeCell ref="A228:D228"/>
    <mergeCell ref="A229:I229"/>
    <mergeCell ref="B230:D230"/>
    <mergeCell ref="B231:D231"/>
    <mergeCell ref="A220:J220"/>
    <mergeCell ref="A221:J221"/>
    <mergeCell ref="B222:D222"/>
    <mergeCell ref="A223:I223"/>
    <mergeCell ref="B224:D224"/>
    <mergeCell ref="B225:D225"/>
    <mergeCell ref="A214:J214"/>
    <mergeCell ref="A215:J215"/>
    <mergeCell ref="A216:J216"/>
    <mergeCell ref="B217:D217"/>
    <mergeCell ref="B218:D218"/>
    <mergeCell ref="A219:D219"/>
    <mergeCell ref="A208:E208"/>
    <mergeCell ref="A209:E209"/>
    <mergeCell ref="A210:E210"/>
    <mergeCell ref="A211:E211"/>
    <mergeCell ref="A212:J212"/>
    <mergeCell ref="A213:J213"/>
    <mergeCell ref="A202:E202"/>
    <mergeCell ref="A203:E203"/>
    <mergeCell ref="A204:E204"/>
    <mergeCell ref="A205:E205"/>
    <mergeCell ref="A206:E206"/>
    <mergeCell ref="A207:E207"/>
    <mergeCell ref="A196:J196"/>
    <mergeCell ref="A197:E197"/>
    <mergeCell ref="A198:E198"/>
    <mergeCell ref="A199:E199"/>
    <mergeCell ref="A200:E200"/>
    <mergeCell ref="A201:J201"/>
    <mergeCell ref="A190:J190"/>
    <mergeCell ref="A191:J191"/>
    <mergeCell ref="A192:J192"/>
    <mergeCell ref="A193:J193"/>
    <mergeCell ref="A194:J194"/>
    <mergeCell ref="A195:E195"/>
    <mergeCell ref="A184:J184"/>
    <mergeCell ref="A185:J185"/>
    <mergeCell ref="A186:J186"/>
    <mergeCell ref="A187:J187"/>
    <mergeCell ref="A188:J188"/>
    <mergeCell ref="A189:J189"/>
    <mergeCell ref="A179:C179"/>
    <mergeCell ref="F179:H179"/>
    <mergeCell ref="A180:I180"/>
    <mergeCell ref="A181:J181"/>
    <mergeCell ref="A182:J182"/>
    <mergeCell ref="A183:J183"/>
    <mergeCell ref="A176:C176"/>
    <mergeCell ref="F176:H176"/>
    <mergeCell ref="A177:C177"/>
    <mergeCell ref="F177:H177"/>
    <mergeCell ref="A178:C178"/>
    <mergeCell ref="F178:H178"/>
    <mergeCell ref="A173:C173"/>
    <mergeCell ref="F173:H173"/>
    <mergeCell ref="A174:C174"/>
    <mergeCell ref="F174:H174"/>
    <mergeCell ref="A175:C175"/>
    <mergeCell ref="F175:H175"/>
    <mergeCell ref="A170:C170"/>
    <mergeCell ref="F170:H170"/>
    <mergeCell ref="A171:C171"/>
    <mergeCell ref="F171:H171"/>
    <mergeCell ref="A172:C172"/>
    <mergeCell ref="F172:H172"/>
    <mergeCell ref="A166:J166"/>
    <mergeCell ref="A167:J167"/>
    <mergeCell ref="A168:C168"/>
    <mergeCell ref="F168:H168"/>
    <mergeCell ref="A169:C169"/>
    <mergeCell ref="F169:H169"/>
    <mergeCell ref="I161:I162"/>
    <mergeCell ref="J161:J162"/>
    <mergeCell ref="C162:D162"/>
    <mergeCell ref="C163:D163"/>
    <mergeCell ref="C164:D164"/>
    <mergeCell ref="A165:D165"/>
    <mergeCell ref="B156:D156"/>
    <mergeCell ref="A157:D157"/>
    <mergeCell ref="A158:D158"/>
    <mergeCell ref="A159:I159"/>
    <mergeCell ref="A160:J160"/>
    <mergeCell ref="A161:D161"/>
    <mergeCell ref="E161:E162"/>
    <mergeCell ref="F161:F162"/>
    <mergeCell ref="G161:G162"/>
    <mergeCell ref="H161:H162"/>
    <mergeCell ref="A150:I150"/>
    <mergeCell ref="B151:D151"/>
    <mergeCell ref="B152:D152"/>
    <mergeCell ref="B153:D153"/>
    <mergeCell ref="B154:D154"/>
    <mergeCell ref="B155:D155"/>
    <mergeCell ref="A144:I144"/>
    <mergeCell ref="B145:D145"/>
    <mergeCell ref="B146:D146"/>
    <mergeCell ref="B147:D147"/>
    <mergeCell ref="B148:D148"/>
    <mergeCell ref="A149:D149"/>
    <mergeCell ref="B138:D138"/>
    <mergeCell ref="B139:D139"/>
    <mergeCell ref="A140:D140"/>
    <mergeCell ref="A141:J141"/>
    <mergeCell ref="A142:J142"/>
    <mergeCell ref="B143:D143"/>
    <mergeCell ref="A132:E132"/>
    <mergeCell ref="A133:J133"/>
    <mergeCell ref="A134:J134"/>
    <mergeCell ref="A135:J135"/>
    <mergeCell ref="A136:J136"/>
    <mergeCell ref="A137:J137"/>
    <mergeCell ref="A126:E126"/>
    <mergeCell ref="A127:E127"/>
    <mergeCell ref="A128:E128"/>
    <mergeCell ref="A129:J129"/>
    <mergeCell ref="A130:E130"/>
    <mergeCell ref="A131:E131"/>
    <mergeCell ref="A120:E120"/>
    <mergeCell ref="A121:J121"/>
    <mergeCell ref="A122:E122"/>
    <mergeCell ref="A123:E123"/>
    <mergeCell ref="A124:E124"/>
    <mergeCell ref="A125:E125"/>
    <mergeCell ref="A114:J114"/>
    <mergeCell ref="A115:J115"/>
    <mergeCell ref="A116:J116"/>
    <mergeCell ref="A117:J117"/>
    <mergeCell ref="A118:J118"/>
    <mergeCell ref="A119:J119"/>
    <mergeCell ref="A108:J108"/>
    <mergeCell ref="A109:J109"/>
    <mergeCell ref="A110:J110"/>
    <mergeCell ref="A111:J111"/>
    <mergeCell ref="A112:J112"/>
    <mergeCell ref="A113:J113"/>
    <mergeCell ref="A104:C104"/>
    <mergeCell ref="F104:H104"/>
    <mergeCell ref="A105:C105"/>
    <mergeCell ref="F105:H105"/>
    <mergeCell ref="A106:I106"/>
    <mergeCell ref="A107:J107"/>
    <mergeCell ref="A99:D99"/>
    <mergeCell ref="A100:J100"/>
    <mergeCell ref="A101:J101"/>
    <mergeCell ref="A102:C102"/>
    <mergeCell ref="F102:H102"/>
    <mergeCell ref="A103:C103"/>
    <mergeCell ref="F103:H103"/>
    <mergeCell ref="A94:J94"/>
    <mergeCell ref="A95:D95"/>
    <mergeCell ref="E95:E96"/>
    <mergeCell ref="F95:F96"/>
    <mergeCell ref="G95:G96"/>
    <mergeCell ref="H95:H96"/>
    <mergeCell ref="I95:I96"/>
    <mergeCell ref="J95:J96"/>
    <mergeCell ref="C96:D96"/>
    <mergeCell ref="B88:D88"/>
    <mergeCell ref="B89:D89"/>
    <mergeCell ref="B90:D90"/>
    <mergeCell ref="A91:D91"/>
    <mergeCell ref="A92:D92"/>
    <mergeCell ref="A93:J93"/>
    <mergeCell ref="B82:D82"/>
    <mergeCell ref="B83:D83"/>
    <mergeCell ref="B84:D84"/>
    <mergeCell ref="B85:D85"/>
    <mergeCell ref="B86:D86"/>
    <mergeCell ref="B87:D87"/>
    <mergeCell ref="A76:D76"/>
    <mergeCell ref="A77:I77"/>
    <mergeCell ref="B78:D78"/>
    <mergeCell ref="B79:D79"/>
    <mergeCell ref="B80:D80"/>
    <mergeCell ref="B81:D81"/>
    <mergeCell ref="B70:D70"/>
    <mergeCell ref="A71:I71"/>
    <mergeCell ref="B72:D72"/>
    <mergeCell ref="B73:D73"/>
    <mergeCell ref="B74:D74"/>
    <mergeCell ref="B75:D75"/>
    <mergeCell ref="B64:D64"/>
    <mergeCell ref="B65:D65"/>
    <mergeCell ref="B66:D66"/>
    <mergeCell ref="A67:D67"/>
    <mergeCell ref="A68:J68"/>
    <mergeCell ref="A69:J69"/>
    <mergeCell ref="A59:J59"/>
    <mergeCell ref="A60:J60"/>
    <mergeCell ref="A61:C61"/>
    <mergeCell ref="D61:J61"/>
    <mergeCell ref="A62:J62"/>
    <mergeCell ref="A63:J63"/>
    <mergeCell ref="C53:D53"/>
    <mergeCell ref="A54:D54"/>
    <mergeCell ref="A55:D55"/>
    <mergeCell ref="A56:J56"/>
    <mergeCell ref="A57:J57"/>
    <mergeCell ref="A58:D58"/>
    <mergeCell ref="B47:D47"/>
    <mergeCell ref="A48:D48"/>
    <mergeCell ref="A49:J49"/>
    <mergeCell ref="A50:J50"/>
    <mergeCell ref="C51:D51"/>
    <mergeCell ref="C52:D52"/>
    <mergeCell ref="A41:J41"/>
    <mergeCell ref="A42:J42"/>
    <mergeCell ref="B43:D43"/>
    <mergeCell ref="B44:D44"/>
    <mergeCell ref="B45:D45"/>
    <mergeCell ref="B46:D46"/>
    <mergeCell ref="B35:D35"/>
    <mergeCell ref="B36:D36"/>
    <mergeCell ref="B37:D37"/>
    <mergeCell ref="B38:D38"/>
    <mergeCell ref="A39:D39"/>
    <mergeCell ref="A40:D40"/>
    <mergeCell ref="B29:D29"/>
    <mergeCell ref="B30:D30"/>
    <mergeCell ref="A31:D31"/>
    <mergeCell ref="A32:J32"/>
    <mergeCell ref="A33:J33"/>
    <mergeCell ref="B34:D34"/>
    <mergeCell ref="A23:J23"/>
    <mergeCell ref="B24:D24"/>
    <mergeCell ref="A25:J25"/>
    <mergeCell ref="B26:D26"/>
    <mergeCell ref="B27:D27"/>
    <mergeCell ref="B28:D28"/>
    <mergeCell ref="A17:J17"/>
    <mergeCell ref="A18:J18"/>
    <mergeCell ref="A19:J19"/>
    <mergeCell ref="A20:J20"/>
    <mergeCell ref="A21:J21"/>
    <mergeCell ref="A22:J22"/>
    <mergeCell ref="A11:J11"/>
    <mergeCell ref="A12:J12"/>
    <mergeCell ref="A13:J13"/>
    <mergeCell ref="A14:J14"/>
    <mergeCell ref="A15:J15"/>
    <mergeCell ref="A16:J16"/>
    <mergeCell ref="A1:J1"/>
    <mergeCell ref="A2:J2"/>
    <mergeCell ref="A3:J3"/>
    <mergeCell ref="A8:J8"/>
    <mergeCell ref="A9:J9"/>
    <mergeCell ref="A10:J10"/>
  </mergeCells>
  <printOptions horizontalCentered="1"/>
  <pageMargins left="0.25" right="0.25" top="0.75" bottom="0.75" header="0.3" footer="0.3"/>
  <pageSetup scale="89" fitToHeight="0" orientation="portrait" r:id="rId1"/>
  <rowBreaks count="14" manualBreakCount="14">
    <brk id="32" max="9" man="1"/>
    <brk id="59" max="9" man="1"/>
    <brk id="106" max="9" man="1"/>
    <brk id="133" max="9" man="1"/>
    <brk id="181" max="9" man="1"/>
    <brk id="212" max="9" man="1"/>
    <brk id="249" max="9" man="1"/>
    <brk id="275" max="9" man="1"/>
    <brk id="299" max="9" man="1"/>
    <brk id="340" max="9" man="1"/>
    <brk id="377" max="9" man="1"/>
    <brk id="418" max="9" man="1"/>
    <brk id="442" max="9" man="1"/>
    <brk id="487"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0"/>
  <sheetViews>
    <sheetView workbookViewId="0">
      <selection activeCell="B1" sqref="B1"/>
    </sheetView>
  </sheetViews>
  <sheetFormatPr defaultColWidth="12.42578125" defaultRowHeight="15" x14ac:dyDescent="0.2"/>
  <cols>
    <col min="1" max="1" width="9.85546875" style="531" customWidth="1"/>
    <col min="2" max="2" width="10.7109375" style="531" customWidth="1"/>
    <col min="3" max="3" width="5.5703125" style="531" customWidth="1"/>
    <col min="4" max="4" width="10.28515625" style="596" customWidth="1"/>
    <col min="5" max="5" width="8.5703125" style="531" customWidth="1"/>
    <col min="6" max="6" width="3.42578125" style="531" customWidth="1"/>
    <col min="7" max="7" width="9" style="531" customWidth="1"/>
    <col min="8" max="8" width="8.5703125" style="531" customWidth="1"/>
    <col min="9" max="9" width="8.7109375" style="531" customWidth="1"/>
    <col min="10" max="10" width="9.85546875" style="531" customWidth="1"/>
    <col min="11" max="11" width="6.85546875" style="531" customWidth="1"/>
    <col min="12" max="12" width="11.5703125" style="596" customWidth="1"/>
    <col min="13" max="13" width="9.85546875" style="531" customWidth="1"/>
    <col min="14" max="14" width="3.42578125" style="531" customWidth="1"/>
    <col min="15" max="15" width="10.28515625" style="531" customWidth="1"/>
    <col min="16" max="16" width="13.7109375" style="531" customWidth="1"/>
    <col min="17" max="17" width="7.28515625" style="531" customWidth="1"/>
    <col min="18" max="18" width="8.5703125" style="531" customWidth="1"/>
    <col min="19" max="20" width="12.42578125" style="531" customWidth="1"/>
    <col min="21" max="21" width="26.5703125" style="531" customWidth="1"/>
    <col min="22" max="256" width="12.42578125" style="531"/>
    <col min="257" max="257" width="9.85546875" style="531" customWidth="1"/>
    <col min="258" max="258" width="10.7109375" style="531" customWidth="1"/>
    <col min="259" max="259" width="5.5703125" style="531" customWidth="1"/>
    <col min="260" max="260" width="10.28515625" style="531" customWidth="1"/>
    <col min="261" max="261" width="8.5703125" style="531" customWidth="1"/>
    <col min="262" max="262" width="3.42578125" style="531" customWidth="1"/>
    <col min="263" max="263" width="9" style="531" customWidth="1"/>
    <col min="264" max="264" width="8.5703125" style="531" customWidth="1"/>
    <col min="265" max="265" width="8.7109375" style="531" customWidth="1"/>
    <col min="266" max="266" width="9.85546875" style="531" customWidth="1"/>
    <col min="267" max="267" width="6.85546875" style="531" customWidth="1"/>
    <col min="268" max="268" width="11.5703125" style="531" customWidth="1"/>
    <col min="269" max="269" width="9.85546875" style="531" customWidth="1"/>
    <col min="270" max="270" width="3.42578125" style="531" customWidth="1"/>
    <col min="271" max="271" width="10.28515625" style="531" customWidth="1"/>
    <col min="272" max="272" width="13.7109375" style="531" customWidth="1"/>
    <col min="273" max="273" width="7.28515625" style="531" customWidth="1"/>
    <col min="274" max="274" width="8.5703125" style="531" customWidth="1"/>
    <col min="275" max="276" width="12.42578125" style="531" customWidth="1"/>
    <col min="277" max="277" width="26.5703125" style="531" customWidth="1"/>
    <col min="278" max="512" width="12.42578125" style="531"/>
    <col min="513" max="513" width="9.85546875" style="531" customWidth="1"/>
    <col min="514" max="514" width="10.7109375" style="531" customWidth="1"/>
    <col min="515" max="515" width="5.5703125" style="531" customWidth="1"/>
    <col min="516" max="516" width="10.28515625" style="531" customWidth="1"/>
    <col min="517" max="517" width="8.5703125" style="531" customWidth="1"/>
    <col min="518" max="518" width="3.42578125" style="531" customWidth="1"/>
    <col min="519" max="519" width="9" style="531" customWidth="1"/>
    <col min="520" max="520" width="8.5703125" style="531" customWidth="1"/>
    <col min="521" max="521" width="8.7109375" style="531" customWidth="1"/>
    <col min="522" max="522" width="9.85546875" style="531" customWidth="1"/>
    <col min="523" max="523" width="6.85546875" style="531" customWidth="1"/>
    <col min="524" max="524" width="11.5703125" style="531" customWidth="1"/>
    <col min="525" max="525" width="9.85546875" style="531" customWidth="1"/>
    <col min="526" max="526" width="3.42578125" style="531" customWidth="1"/>
    <col min="527" max="527" width="10.28515625" style="531" customWidth="1"/>
    <col min="528" max="528" width="13.7109375" style="531" customWidth="1"/>
    <col min="529" max="529" width="7.28515625" style="531" customWidth="1"/>
    <col min="530" max="530" width="8.5703125" style="531" customWidth="1"/>
    <col min="531" max="532" width="12.42578125" style="531" customWidth="1"/>
    <col min="533" max="533" width="26.5703125" style="531" customWidth="1"/>
    <col min="534" max="768" width="12.42578125" style="531"/>
    <col min="769" max="769" width="9.85546875" style="531" customWidth="1"/>
    <col min="770" max="770" width="10.7109375" style="531" customWidth="1"/>
    <col min="771" max="771" width="5.5703125" style="531" customWidth="1"/>
    <col min="772" max="772" width="10.28515625" style="531" customWidth="1"/>
    <col min="773" max="773" width="8.5703125" style="531" customWidth="1"/>
    <col min="774" max="774" width="3.42578125" style="531" customWidth="1"/>
    <col min="775" max="775" width="9" style="531" customWidth="1"/>
    <col min="776" max="776" width="8.5703125" style="531" customWidth="1"/>
    <col min="777" max="777" width="8.7109375" style="531" customWidth="1"/>
    <col min="778" max="778" width="9.85546875" style="531" customWidth="1"/>
    <col min="779" max="779" width="6.85546875" style="531" customWidth="1"/>
    <col min="780" max="780" width="11.5703125" style="531" customWidth="1"/>
    <col min="781" max="781" width="9.85546875" style="531" customWidth="1"/>
    <col min="782" max="782" width="3.42578125" style="531" customWidth="1"/>
    <col min="783" max="783" width="10.28515625" style="531" customWidth="1"/>
    <col min="784" max="784" width="13.7109375" style="531" customWidth="1"/>
    <col min="785" max="785" width="7.28515625" style="531" customWidth="1"/>
    <col min="786" max="786" width="8.5703125" style="531" customWidth="1"/>
    <col min="787" max="788" width="12.42578125" style="531" customWidth="1"/>
    <col min="789" max="789" width="26.5703125" style="531" customWidth="1"/>
    <col min="790" max="1024" width="12.42578125" style="531"/>
    <col min="1025" max="1025" width="9.85546875" style="531" customWidth="1"/>
    <col min="1026" max="1026" width="10.7109375" style="531" customWidth="1"/>
    <col min="1027" max="1027" width="5.5703125" style="531" customWidth="1"/>
    <col min="1028" max="1028" width="10.28515625" style="531" customWidth="1"/>
    <col min="1029" max="1029" width="8.5703125" style="531" customWidth="1"/>
    <col min="1030" max="1030" width="3.42578125" style="531" customWidth="1"/>
    <col min="1031" max="1031" width="9" style="531" customWidth="1"/>
    <col min="1032" max="1032" width="8.5703125" style="531" customWidth="1"/>
    <col min="1033" max="1033" width="8.7109375" style="531" customWidth="1"/>
    <col min="1034" max="1034" width="9.85546875" style="531" customWidth="1"/>
    <col min="1035" max="1035" width="6.85546875" style="531" customWidth="1"/>
    <col min="1036" max="1036" width="11.5703125" style="531" customWidth="1"/>
    <col min="1037" max="1037" width="9.85546875" style="531" customWidth="1"/>
    <col min="1038" max="1038" width="3.42578125" style="531" customWidth="1"/>
    <col min="1039" max="1039" width="10.28515625" style="531" customWidth="1"/>
    <col min="1040" max="1040" width="13.7109375" style="531" customWidth="1"/>
    <col min="1041" max="1041" width="7.28515625" style="531" customWidth="1"/>
    <col min="1042" max="1042" width="8.5703125" style="531" customWidth="1"/>
    <col min="1043" max="1044" width="12.42578125" style="531" customWidth="1"/>
    <col min="1045" max="1045" width="26.5703125" style="531" customWidth="1"/>
    <col min="1046" max="1280" width="12.42578125" style="531"/>
    <col min="1281" max="1281" width="9.85546875" style="531" customWidth="1"/>
    <col min="1282" max="1282" width="10.7109375" style="531" customWidth="1"/>
    <col min="1283" max="1283" width="5.5703125" style="531" customWidth="1"/>
    <col min="1284" max="1284" width="10.28515625" style="531" customWidth="1"/>
    <col min="1285" max="1285" width="8.5703125" style="531" customWidth="1"/>
    <col min="1286" max="1286" width="3.42578125" style="531" customWidth="1"/>
    <col min="1287" max="1287" width="9" style="531" customWidth="1"/>
    <col min="1288" max="1288" width="8.5703125" style="531" customWidth="1"/>
    <col min="1289" max="1289" width="8.7109375" style="531" customWidth="1"/>
    <col min="1290" max="1290" width="9.85546875" style="531" customWidth="1"/>
    <col min="1291" max="1291" width="6.85546875" style="531" customWidth="1"/>
    <col min="1292" max="1292" width="11.5703125" style="531" customWidth="1"/>
    <col min="1293" max="1293" width="9.85546875" style="531" customWidth="1"/>
    <col min="1294" max="1294" width="3.42578125" style="531" customWidth="1"/>
    <col min="1295" max="1295" width="10.28515625" style="531" customWidth="1"/>
    <col min="1296" max="1296" width="13.7109375" style="531" customWidth="1"/>
    <col min="1297" max="1297" width="7.28515625" style="531" customWidth="1"/>
    <col min="1298" max="1298" width="8.5703125" style="531" customWidth="1"/>
    <col min="1299" max="1300" width="12.42578125" style="531" customWidth="1"/>
    <col min="1301" max="1301" width="26.5703125" style="531" customWidth="1"/>
    <col min="1302" max="1536" width="12.42578125" style="531"/>
    <col min="1537" max="1537" width="9.85546875" style="531" customWidth="1"/>
    <col min="1538" max="1538" width="10.7109375" style="531" customWidth="1"/>
    <col min="1539" max="1539" width="5.5703125" style="531" customWidth="1"/>
    <col min="1540" max="1540" width="10.28515625" style="531" customWidth="1"/>
    <col min="1541" max="1541" width="8.5703125" style="531" customWidth="1"/>
    <col min="1542" max="1542" width="3.42578125" style="531" customWidth="1"/>
    <col min="1543" max="1543" width="9" style="531" customWidth="1"/>
    <col min="1544" max="1544" width="8.5703125" style="531" customWidth="1"/>
    <col min="1545" max="1545" width="8.7109375" style="531" customWidth="1"/>
    <col min="1546" max="1546" width="9.85546875" style="531" customWidth="1"/>
    <col min="1547" max="1547" width="6.85546875" style="531" customWidth="1"/>
    <col min="1548" max="1548" width="11.5703125" style="531" customWidth="1"/>
    <col min="1549" max="1549" width="9.85546875" style="531" customWidth="1"/>
    <col min="1550" max="1550" width="3.42578125" style="531" customWidth="1"/>
    <col min="1551" max="1551" width="10.28515625" style="531" customWidth="1"/>
    <col min="1552" max="1552" width="13.7109375" style="531" customWidth="1"/>
    <col min="1553" max="1553" width="7.28515625" style="531" customWidth="1"/>
    <col min="1554" max="1554" width="8.5703125" style="531" customWidth="1"/>
    <col min="1555" max="1556" width="12.42578125" style="531" customWidth="1"/>
    <col min="1557" max="1557" width="26.5703125" style="531" customWidth="1"/>
    <col min="1558" max="1792" width="12.42578125" style="531"/>
    <col min="1793" max="1793" width="9.85546875" style="531" customWidth="1"/>
    <col min="1794" max="1794" width="10.7109375" style="531" customWidth="1"/>
    <col min="1795" max="1795" width="5.5703125" style="531" customWidth="1"/>
    <col min="1796" max="1796" width="10.28515625" style="531" customWidth="1"/>
    <col min="1797" max="1797" width="8.5703125" style="531" customWidth="1"/>
    <col min="1798" max="1798" width="3.42578125" style="531" customWidth="1"/>
    <col min="1799" max="1799" width="9" style="531" customWidth="1"/>
    <col min="1800" max="1800" width="8.5703125" style="531" customWidth="1"/>
    <col min="1801" max="1801" width="8.7109375" style="531" customWidth="1"/>
    <col min="1802" max="1802" width="9.85546875" style="531" customWidth="1"/>
    <col min="1803" max="1803" width="6.85546875" style="531" customWidth="1"/>
    <col min="1804" max="1804" width="11.5703125" style="531" customWidth="1"/>
    <col min="1805" max="1805" width="9.85546875" style="531" customWidth="1"/>
    <col min="1806" max="1806" width="3.42578125" style="531" customWidth="1"/>
    <col min="1807" max="1807" width="10.28515625" style="531" customWidth="1"/>
    <col min="1808" max="1808" width="13.7109375" style="531" customWidth="1"/>
    <col min="1809" max="1809" width="7.28515625" style="531" customWidth="1"/>
    <col min="1810" max="1810" width="8.5703125" style="531" customWidth="1"/>
    <col min="1811" max="1812" width="12.42578125" style="531" customWidth="1"/>
    <col min="1813" max="1813" width="26.5703125" style="531" customWidth="1"/>
    <col min="1814" max="2048" width="12.42578125" style="531"/>
    <col min="2049" max="2049" width="9.85546875" style="531" customWidth="1"/>
    <col min="2050" max="2050" width="10.7109375" style="531" customWidth="1"/>
    <col min="2051" max="2051" width="5.5703125" style="531" customWidth="1"/>
    <col min="2052" max="2052" width="10.28515625" style="531" customWidth="1"/>
    <col min="2053" max="2053" width="8.5703125" style="531" customWidth="1"/>
    <col min="2054" max="2054" width="3.42578125" style="531" customWidth="1"/>
    <col min="2055" max="2055" width="9" style="531" customWidth="1"/>
    <col min="2056" max="2056" width="8.5703125" style="531" customWidth="1"/>
    <col min="2057" max="2057" width="8.7109375" style="531" customWidth="1"/>
    <col min="2058" max="2058" width="9.85546875" style="531" customWidth="1"/>
    <col min="2059" max="2059" width="6.85546875" style="531" customWidth="1"/>
    <col min="2060" max="2060" width="11.5703125" style="531" customWidth="1"/>
    <col min="2061" max="2061" width="9.85546875" style="531" customWidth="1"/>
    <col min="2062" max="2062" width="3.42578125" style="531" customWidth="1"/>
    <col min="2063" max="2063" width="10.28515625" style="531" customWidth="1"/>
    <col min="2064" max="2064" width="13.7109375" style="531" customWidth="1"/>
    <col min="2065" max="2065" width="7.28515625" style="531" customWidth="1"/>
    <col min="2066" max="2066" width="8.5703125" style="531" customWidth="1"/>
    <col min="2067" max="2068" width="12.42578125" style="531" customWidth="1"/>
    <col min="2069" max="2069" width="26.5703125" style="531" customWidth="1"/>
    <col min="2070" max="2304" width="12.42578125" style="531"/>
    <col min="2305" max="2305" width="9.85546875" style="531" customWidth="1"/>
    <col min="2306" max="2306" width="10.7109375" style="531" customWidth="1"/>
    <col min="2307" max="2307" width="5.5703125" style="531" customWidth="1"/>
    <col min="2308" max="2308" width="10.28515625" style="531" customWidth="1"/>
    <col min="2309" max="2309" width="8.5703125" style="531" customWidth="1"/>
    <col min="2310" max="2310" width="3.42578125" style="531" customWidth="1"/>
    <col min="2311" max="2311" width="9" style="531" customWidth="1"/>
    <col min="2312" max="2312" width="8.5703125" style="531" customWidth="1"/>
    <col min="2313" max="2313" width="8.7109375" style="531" customWidth="1"/>
    <col min="2314" max="2314" width="9.85546875" style="531" customWidth="1"/>
    <col min="2315" max="2315" width="6.85546875" style="531" customWidth="1"/>
    <col min="2316" max="2316" width="11.5703125" style="531" customWidth="1"/>
    <col min="2317" max="2317" width="9.85546875" style="531" customWidth="1"/>
    <col min="2318" max="2318" width="3.42578125" style="531" customWidth="1"/>
    <col min="2319" max="2319" width="10.28515625" style="531" customWidth="1"/>
    <col min="2320" max="2320" width="13.7109375" style="531" customWidth="1"/>
    <col min="2321" max="2321" width="7.28515625" style="531" customWidth="1"/>
    <col min="2322" max="2322" width="8.5703125" style="531" customWidth="1"/>
    <col min="2323" max="2324" width="12.42578125" style="531" customWidth="1"/>
    <col min="2325" max="2325" width="26.5703125" style="531" customWidth="1"/>
    <col min="2326" max="2560" width="12.42578125" style="531"/>
    <col min="2561" max="2561" width="9.85546875" style="531" customWidth="1"/>
    <col min="2562" max="2562" width="10.7109375" style="531" customWidth="1"/>
    <col min="2563" max="2563" width="5.5703125" style="531" customWidth="1"/>
    <col min="2564" max="2564" width="10.28515625" style="531" customWidth="1"/>
    <col min="2565" max="2565" width="8.5703125" style="531" customWidth="1"/>
    <col min="2566" max="2566" width="3.42578125" style="531" customWidth="1"/>
    <col min="2567" max="2567" width="9" style="531" customWidth="1"/>
    <col min="2568" max="2568" width="8.5703125" style="531" customWidth="1"/>
    <col min="2569" max="2569" width="8.7109375" style="531" customWidth="1"/>
    <col min="2570" max="2570" width="9.85546875" style="531" customWidth="1"/>
    <col min="2571" max="2571" width="6.85546875" style="531" customWidth="1"/>
    <col min="2572" max="2572" width="11.5703125" style="531" customWidth="1"/>
    <col min="2573" max="2573" width="9.85546875" style="531" customWidth="1"/>
    <col min="2574" max="2574" width="3.42578125" style="531" customWidth="1"/>
    <col min="2575" max="2575" width="10.28515625" style="531" customWidth="1"/>
    <col min="2576" max="2576" width="13.7109375" style="531" customWidth="1"/>
    <col min="2577" max="2577" width="7.28515625" style="531" customWidth="1"/>
    <col min="2578" max="2578" width="8.5703125" style="531" customWidth="1"/>
    <col min="2579" max="2580" width="12.42578125" style="531" customWidth="1"/>
    <col min="2581" max="2581" width="26.5703125" style="531" customWidth="1"/>
    <col min="2582" max="2816" width="12.42578125" style="531"/>
    <col min="2817" max="2817" width="9.85546875" style="531" customWidth="1"/>
    <col min="2818" max="2818" width="10.7109375" style="531" customWidth="1"/>
    <col min="2819" max="2819" width="5.5703125" style="531" customWidth="1"/>
    <col min="2820" max="2820" width="10.28515625" style="531" customWidth="1"/>
    <col min="2821" max="2821" width="8.5703125" style="531" customWidth="1"/>
    <col min="2822" max="2822" width="3.42578125" style="531" customWidth="1"/>
    <col min="2823" max="2823" width="9" style="531" customWidth="1"/>
    <col min="2824" max="2824" width="8.5703125" style="531" customWidth="1"/>
    <col min="2825" max="2825" width="8.7109375" style="531" customWidth="1"/>
    <col min="2826" max="2826" width="9.85546875" style="531" customWidth="1"/>
    <col min="2827" max="2827" width="6.85546875" style="531" customWidth="1"/>
    <col min="2828" max="2828" width="11.5703125" style="531" customWidth="1"/>
    <col min="2829" max="2829" width="9.85546875" style="531" customWidth="1"/>
    <col min="2830" max="2830" width="3.42578125" style="531" customWidth="1"/>
    <col min="2831" max="2831" width="10.28515625" style="531" customWidth="1"/>
    <col min="2832" max="2832" width="13.7109375" style="531" customWidth="1"/>
    <col min="2833" max="2833" width="7.28515625" style="531" customWidth="1"/>
    <col min="2834" max="2834" width="8.5703125" style="531" customWidth="1"/>
    <col min="2835" max="2836" width="12.42578125" style="531" customWidth="1"/>
    <col min="2837" max="2837" width="26.5703125" style="531" customWidth="1"/>
    <col min="2838" max="3072" width="12.42578125" style="531"/>
    <col min="3073" max="3073" width="9.85546875" style="531" customWidth="1"/>
    <col min="3074" max="3074" width="10.7109375" style="531" customWidth="1"/>
    <col min="3075" max="3075" width="5.5703125" style="531" customWidth="1"/>
    <col min="3076" max="3076" width="10.28515625" style="531" customWidth="1"/>
    <col min="3077" max="3077" width="8.5703125" style="531" customWidth="1"/>
    <col min="3078" max="3078" width="3.42578125" style="531" customWidth="1"/>
    <col min="3079" max="3079" width="9" style="531" customWidth="1"/>
    <col min="3080" max="3080" width="8.5703125" style="531" customWidth="1"/>
    <col min="3081" max="3081" width="8.7109375" style="531" customWidth="1"/>
    <col min="3082" max="3082" width="9.85546875" style="531" customWidth="1"/>
    <col min="3083" max="3083" width="6.85546875" style="531" customWidth="1"/>
    <col min="3084" max="3084" width="11.5703125" style="531" customWidth="1"/>
    <col min="3085" max="3085" width="9.85546875" style="531" customWidth="1"/>
    <col min="3086" max="3086" width="3.42578125" style="531" customWidth="1"/>
    <col min="3087" max="3087" width="10.28515625" style="531" customWidth="1"/>
    <col min="3088" max="3088" width="13.7109375" style="531" customWidth="1"/>
    <col min="3089" max="3089" width="7.28515625" style="531" customWidth="1"/>
    <col min="3090" max="3090" width="8.5703125" style="531" customWidth="1"/>
    <col min="3091" max="3092" width="12.42578125" style="531" customWidth="1"/>
    <col min="3093" max="3093" width="26.5703125" style="531" customWidth="1"/>
    <col min="3094" max="3328" width="12.42578125" style="531"/>
    <col min="3329" max="3329" width="9.85546875" style="531" customWidth="1"/>
    <col min="3330" max="3330" width="10.7109375" style="531" customWidth="1"/>
    <col min="3331" max="3331" width="5.5703125" style="531" customWidth="1"/>
    <col min="3332" max="3332" width="10.28515625" style="531" customWidth="1"/>
    <col min="3333" max="3333" width="8.5703125" style="531" customWidth="1"/>
    <col min="3334" max="3334" width="3.42578125" style="531" customWidth="1"/>
    <col min="3335" max="3335" width="9" style="531" customWidth="1"/>
    <col min="3336" max="3336" width="8.5703125" style="531" customWidth="1"/>
    <col min="3337" max="3337" width="8.7109375" style="531" customWidth="1"/>
    <col min="3338" max="3338" width="9.85546875" style="531" customWidth="1"/>
    <col min="3339" max="3339" width="6.85546875" style="531" customWidth="1"/>
    <col min="3340" max="3340" width="11.5703125" style="531" customWidth="1"/>
    <col min="3341" max="3341" width="9.85546875" style="531" customWidth="1"/>
    <col min="3342" max="3342" width="3.42578125" style="531" customWidth="1"/>
    <col min="3343" max="3343" width="10.28515625" style="531" customWidth="1"/>
    <col min="3344" max="3344" width="13.7109375" style="531" customWidth="1"/>
    <col min="3345" max="3345" width="7.28515625" style="531" customWidth="1"/>
    <col min="3346" max="3346" width="8.5703125" style="531" customWidth="1"/>
    <col min="3347" max="3348" width="12.42578125" style="531" customWidth="1"/>
    <col min="3349" max="3349" width="26.5703125" style="531" customWidth="1"/>
    <col min="3350" max="3584" width="12.42578125" style="531"/>
    <col min="3585" max="3585" width="9.85546875" style="531" customWidth="1"/>
    <col min="3586" max="3586" width="10.7109375" style="531" customWidth="1"/>
    <col min="3587" max="3587" width="5.5703125" style="531" customWidth="1"/>
    <col min="3588" max="3588" width="10.28515625" style="531" customWidth="1"/>
    <col min="3589" max="3589" width="8.5703125" style="531" customWidth="1"/>
    <col min="3590" max="3590" width="3.42578125" style="531" customWidth="1"/>
    <col min="3591" max="3591" width="9" style="531" customWidth="1"/>
    <col min="3592" max="3592" width="8.5703125" style="531" customWidth="1"/>
    <col min="3593" max="3593" width="8.7109375" style="531" customWidth="1"/>
    <col min="3594" max="3594" width="9.85546875" style="531" customWidth="1"/>
    <col min="3595" max="3595" width="6.85546875" style="531" customWidth="1"/>
    <col min="3596" max="3596" width="11.5703125" style="531" customWidth="1"/>
    <col min="3597" max="3597" width="9.85546875" style="531" customWidth="1"/>
    <col min="3598" max="3598" width="3.42578125" style="531" customWidth="1"/>
    <col min="3599" max="3599" width="10.28515625" style="531" customWidth="1"/>
    <col min="3600" max="3600" width="13.7109375" style="531" customWidth="1"/>
    <col min="3601" max="3601" width="7.28515625" style="531" customWidth="1"/>
    <col min="3602" max="3602" width="8.5703125" style="531" customWidth="1"/>
    <col min="3603" max="3604" width="12.42578125" style="531" customWidth="1"/>
    <col min="3605" max="3605" width="26.5703125" style="531" customWidth="1"/>
    <col min="3606" max="3840" width="12.42578125" style="531"/>
    <col min="3841" max="3841" width="9.85546875" style="531" customWidth="1"/>
    <col min="3842" max="3842" width="10.7109375" style="531" customWidth="1"/>
    <col min="3843" max="3843" width="5.5703125" style="531" customWidth="1"/>
    <col min="3844" max="3844" width="10.28515625" style="531" customWidth="1"/>
    <col min="3845" max="3845" width="8.5703125" style="531" customWidth="1"/>
    <col min="3846" max="3846" width="3.42578125" style="531" customWidth="1"/>
    <col min="3847" max="3847" width="9" style="531" customWidth="1"/>
    <col min="3848" max="3848" width="8.5703125" style="531" customWidth="1"/>
    <col min="3849" max="3849" width="8.7109375" style="531" customWidth="1"/>
    <col min="3850" max="3850" width="9.85546875" style="531" customWidth="1"/>
    <col min="3851" max="3851" width="6.85546875" style="531" customWidth="1"/>
    <col min="3852" max="3852" width="11.5703125" style="531" customWidth="1"/>
    <col min="3853" max="3853" width="9.85546875" style="531" customWidth="1"/>
    <col min="3854" max="3854" width="3.42578125" style="531" customWidth="1"/>
    <col min="3855" max="3855" width="10.28515625" style="531" customWidth="1"/>
    <col min="3856" max="3856" width="13.7109375" style="531" customWidth="1"/>
    <col min="3857" max="3857" width="7.28515625" style="531" customWidth="1"/>
    <col min="3858" max="3858" width="8.5703125" style="531" customWidth="1"/>
    <col min="3859" max="3860" width="12.42578125" style="531" customWidth="1"/>
    <col min="3861" max="3861" width="26.5703125" style="531" customWidth="1"/>
    <col min="3862" max="4096" width="12.42578125" style="531"/>
    <col min="4097" max="4097" width="9.85546875" style="531" customWidth="1"/>
    <col min="4098" max="4098" width="10.7109375" style="531" customWidth="1"/>
    <col min="4099" max="4099" width="5.5703125" style="531" customWidth="1"/>
    <col min="4100" max="4100" width="10.28515625" style="531" customWidth="1"/>
    <col min="4101" max="4101" width="8.5703125" style="531" customWidth="1"/>
    <col min="4102" max="4102" width="3.42578125" style="531" customWidth="1"/>
    <col min="4103" max="4103" width="9" style="531" customWidth="1"/>
    <col min="4104" max="4104" width="8.5703125" style="531" customWidth="1"/>
    <col min="4105" max="4105" width="8.7109375" style="531" customWidth="1"/>
    <col min="4106" max="4106" width="9.85546875" style="531" customWidth="1"/>
    <col min="4107" max="4107" width="6.85546875" style="531" customWidth="1"/>
    <col min="4108" max="4108" width="11.5703125" style="531" customWidth="1"/>
    <col min="4109" max="4109" width="9.85546875" style="531" customWidth="1"/>
    <col min="4110" max="4110" width="3.42578125" style="531" customWidth="1"/>
    <col min="4111" max="4111" width="10.28515625" style="531" customWidth="1"/>
    <col min="4112" max="4112" width="13.7109375" style="531" customWidth="1"/>
    <col min="4113" max="4113" width="7.28515625" style="531" customWidth="1"/>
    <col min="4114" max="4114" width="8.5703125" style="531" customWidth="1"/>
    <col min="4115" max="4116" width="12.42578125" style="531" customWidth="1"/>
    <col min="4117" max="4117" width="26.5703125" style="531" customWidth="1"/>
    <col min="4118" max="4352" width="12.42578125" style="531"/>
    <col min="4353" max="4353" width="9.85546875" style="531" customWidth="1"/>
    <col min="4354" max="4354" width="10.7109375" style="531" customWidth="1"/>
    <col min="4355" max="4355" width="5.5703125" style="531" customWidth="1"/>
    <col min="4356" max="4356" width="10.28515625" style="531" customWidth="1"/>
    <col min="4357" max="4357" width="8.5703125" style="531" customWidth="1"/>
    <col min="4358" max="4358" width="3.42578125" style="531" customWidth="1"/>
    <col min="4359" max="4359" width="9" style="531" customWidth="1"/>
    <col min="4360" max="4360" width="8.5703125" style="531" customWidth="1"/>
    <col min="4361" max="4361" width="8.7109375" style="531" customWidth="1"/>
    <col min="4362" max="4362" width="9.85546875" style="531" customWidth="1"/>
    <col min="4363" max="4363" width="6.85546875" style="531" customWidth="1"/>
    <col min="4364" max="4364" width="11.5703125" style="531" customWidth="1"/>
    <col min="4365" max="4365" width="9.85546875" style="531" customWidth="1"/>
    <col min="4366" max="4366" width="3.42578125" style="531" customWidth="1"/>
    <col min="4367" max="4367" width="10.28515625" style="531" customWidth="1"/>
    <col min="4368" max="4368" width="13.7109375" style="531" customWidth="1"/>
    <col min="4369" max="4369" width="7.28515625" style="531" customWidth="1"/>
    <col min="4370" max="4370" width="8.5703125" style="531" customWidth="1"/>
    <col min="4371" max="4372" width="12.42578125" style="531" customWidth="1"/>
    <col min="4373" max="4373" width="26.5703125" style="531" customWidth="1"/>
    <col min="4374" max="4608" width="12.42578125" style="531"/>
    <col min="4609" max="4609" width="9.85546875" style="531" customWidth="1"/>
    <col min="4610" max="4610" width="10.7109375" style="531" customWidth="1"/>
    <col min="4611" max="4611" width="5.5703125" style="531" customWidth="1"/>
    <col min="4612" max="4612" width="10.28515625" style="531" customWidth="1"/>
    <col min="4613" max="4613" width="8.5703125" style="531" customWidth="1"/>
    <col min="4614" max="4614" width="3.42578125" style="531" customWidth="1"/>
    <col min="4615" max="4615" width="9" style="531" customWidth="1"/>
    <col min="4616" max="4616" width="8.5703125" style="531" customWidth="1"/>
    <col min="4617" max="4617" width="8.7109375" style="531" customWidth="1"/>
    <col min="4618" max="4618" width="9.85546875" style="531" customWidth="1"/>
    <col min="4619" max="4619" width="6.85546875" style="531" customWidth="1"/>
    <col min="4620" max="4620" width="11.5703125" style="531" customWidth="1"/>
    <col min="4621" max="4621" width="9.85546875" style="531" customWidth="1"/>
    <col min="4622" max="4622" width="3.42578125" style="531" customWidth="1"/>
    <col min="4623" max="4623" width="10.28515625" style="531" customWidth="1"/>
    <col min="4624" max="4624" width="13.7109375" style="531" customWidth="1"/>
    <col min="4625" max="4625" width="7.28515625" style="531" customWidth="1"/>
    <col min="4626" max="4626" width="8.5703125" style="531" customWidth="1"/>
    <col min="4627" max="4628" width="12.42578125" style="531" customWidth="1"/>
    <col min="4629" max="4629" width="26.5703125" style="531" customWidth="1"/>
    <col min="4630" max="4864" width="12.42578125" style="531"/>
    <col min="4865" max="4865" width="9.85546875" style="531" customWidth="1"/>
    <col min="4866" max="4866" width="10.7109375" style="531" customWidth="1"/>
    <col min="4867" max="4867" width="5.5703125" style="531" customWidth="1"/>
    <col min="4868" max="4868" width="10.28515625" style="531" customWidth="1"/>
    <col min="4869" max="4869" width="8.5703125" style="531" customWidth="1"/>
    <col min="4870" max="4870" width="3.42578125" style="531" customWidth="1"/>
    <col min="4871" max="4871" width="9" style="531" customWidth="1"/>
    <col min="4872" max="4872" width="8.5703125" style="531" customWidth="1"/>
    <col min="4873" max="4873" width="8.7109375" style="531" customWidth="1"/>
    <col min="4874" max="4874" width="9.85546875" style="531" customWidth="1"/>
    <col min="4875" max="4875" width="6.85546875" style="531" customWidth="1"/>
    <col min="4876" max="4876" width="11.5703125" style="531" customWidth="1"/>
    <col min="4877" max="4877" width="9.85546875" style="531" customWidth="1"/>
    <col min="4878" max="4878" width="3.42578125" style="531" customWidth="1"/>
    <col min="4879" max="4879" width="10.28515625" style="531" customWidth="1"/>
    <col min="4880" max="4880" width="13.7109375" style="531" customWidth="1"/>
    <col min="4881" max="4881" width="7.28515625" style="531" customWidth="1"/>
    <col min="4882" max="4882" width="8.5703125" style="531" customWidth="1"/>
    <col min="4883" max="4884" width="12.42578125" style="531" customWidth="1"/>
    <col min="4885" max="4885" width="26.5703125" style="531" customWidth="1"/>
    <col min="4886" max="5120" width="12.42578125" style="531"/>
    <col min="5121" max="5121" width="9.85546875" style="531" customWidth="1"/>
    <col min="5122" max="5122" width="10.7109375" style="531" customWidth="1"/>
    <col min="5123" max="5123" width="5.5703125" style="531" customWidth="1"/>
    <col min="5124" max="5124" width="10.28515625" style="531" customWidth="1"/>
    <col min="5125" max="5125" width="8.5703125" style="531" customWidth="1"/>
    <col min="5126" max="5126" width="3.42578125" style="531" customWidth="1"/>
    <col min="5127" max="5127" width="9" style="531" customWidth="1"/>
    <col min="5128" max="5128" width="8.5703125" style="531" customWidth="1"/>
    <col min="5129" max="5129" width="8.7109375" style="531" customWidth="1"/>
    <col min="5130" max="5130" width="9.85546875" style="531" customWidth="1"/>
    <col min="5131" max="5131" width="6.85546875" style="531" customWidth="1"/>
    <col min="5132" max="5132" width="11.5703125" style="531" customWidth="1"/>
    <col min="5133" max="5133" width="9.85546875" style="531" customWidth="1"/>
    <col min="5134" max="5134" width="3.42578125" style="531" customWidth="1"/>
    <col min="5135" max="5135" width="10.28515625" style="531" customWidth="1"/>
    <col min="5136" max="5136" width="13.7109375" style="531" customWidth="1"/>
    <col min="5137" max="5137" width="7.28515625" style="531" customWidth="1"/>
    <col min="5138" max="5138" width="8.5703125" style="531" customWidth="1"/>
    <col min="5139" max="5140" width="12.42578125" style="531" customWidth="1"/>
    <col min="5141" max="5141" width="26.5703125" style="531" customWidth="1"/>
    <col min="5142" max="5376" width="12.42578125" style="531"/>
    <col min="5377" max="5377" width="9.85546875" style="531" customWidth="1"/>
    <col min="5378" max="5378" width="10.7109375" style="531" customWidth="1"/>
    <col min="5379" max="5379" width="5.5703125" style="531" customWidth="1"/>
    <col min="5380" max="5380" width="10.28515625" style="531" customWidth="1"/>
    <col min="5381" max="5381" width="8.5703125" style="531" customWidth="1"/>
    <col min="5382" max="5382" width="3.42578125" style="531" customWidth="1"/>
    <col min="5383" max="5383" width="9" style="531" customWidth="1"/>
    <col min="5384" max="5384" width="8.5703125" style="531" customWidth="1"/>
    <col min="5385" max="5385" width="8.7109375" style="531" customWidth="1"/>
    <col min="5386" max="5386" width="9.85546875" style="531" customWidth="1"/>
    <col min="5387" max="5387" width="6.85546875" style="531" customWidth="1"/>
    <col min="5388" max="5388" width="11.5703125" style="531" customWidth="1"/>
    <col min="5389" max="5389" width="9.85546875" style="531" customWidth="1"/>
    <col min="5390" max="5390" width="3.42578125" style="531" customWidth="1"/>
    <col min="5391" max="5391" width="10.28515625" style="531" customWidth="1"/>
    <col min="5392" max="5392" width="13.7109375" style="531" customWidth="1"/>
    <col min="5393" max="5393" width="7.28515625" style="531" customWidth="1"/>
    <col min="5394" max="5394" width="8.5703125" style="531" customWidth="1"/>
    <col min="5395" max="5396" width="12.42578125" style="531" customWidth="1"/>
    <col min="5397" max="5397" width="26.5703125" style="531" customWidth="1"/>
    <col min="5398" max="5632" width="12.42578125" style="531"/>
    <col min="5633" max="5633" width="9.85546875" style="531" customWidth="1"/>
    <col min="5634" max="5634" width="10.7109375" style="531" customWidth="1"/>
    <col min="5635" max="5635" width="5.5703125" style="531" customWidth="1"/>
    <col min="5636" max="5636" width="10.28515625" style="531" customWidth="1"/>
    <col min="5637" max="5637" width="8.5703125" style="531" customWidth="1"/>
    <col min="5638" max="5638" width="3.42578125" style="531" customWidth="1"/>
    <col min="5639" max="5639" width="9" style="531" customWidth="1"/>
    <col min="5640" max="5640" width="8.5703125" style="531" customWidth="1"/>
    <col min="5641" max="5641" width="8.7109375" style="531" customWidth="1"/>
    <col min="5642" max="5642" width="9.85546875" style="531" customWidth="1"/>
    <col min="5643" max="5643" width="6.85546875" style="531" customWidth="1"/>
    <col min="5644" max="5644" width="11.5703125" style="531" customWidth="1"/>
    <col min="5645" max="5645" width="9.85546875" style="531" customWidth="1"/>
    <col min="5646" max="5646" width="3.42578125" style="531" customWidth="1"/>
    <col min="5647" max="5647" width="10.28515625" style="531" customWidth="1"/>
    <col min="5648" max="5648" width="13.7109375" style="531" customWidth="1"/>
    <col min="5649" max="5649" width="7.28515625" style="531" customWidth="1"/>
    <col min="5650" max="5650" width="8.5703125" style="531" customWidth="1"/>
    <col min="5651" max="5652" width="12.42578125" style="531" customWidth="1"/>
    <col min="5653" max="5653" width="26.5703125" style="531" customWidth="1"/>
    <col min="5654" max="5888" width="12.42578125" style="531"/>
    <col min="5889" max="5889" width="9.85546875" style="531" customWidth="1"/>
    <col min="5890" max="5890" width="10.7109375" style="531" customWidth="1"/>
    <col min="5891" max="5891" width="5.5703125" style="531" customWidth="1"/>
    <col min="5892" max="5892" width="10.28515625" style="531" customWidth="1"/>
    <col min="5893" max="5893" width="8.5703125" style="531" customWidth="1"/>
    <col min="5894" max="5894" width="3.42578125" style="531" customWidth="1"/>
    <col min="5895" max="5895" width="9" style="531" customWidth="1"/>
    <col min="5896" max="5896" width="8.5703125" style="531" customWidth="1"/>
    <col min="5897" max="5897" width="8.7109375" style="531" customWidth="1"/>
    <col min="5898" max="5898" width="9.85546875" style="531" customWidth="1"/>
    <col min="5899" max="5899" width="6.85546875" style="531" customWidth="1"/>
    <col min="5900" max="5900" width="11.5703125" style="531" customWidth="1"/>
    <col min="5901" max="5901" width="9.85546875" style="531" customWidth="1"/>
    <col min="5902" max="5902" width="3.42578125" style="531" customWidth="1"/>
    <col min="5903" max="5903" width="10.28515625" style="531" customWidth="1"/>
    <col min="5904" max="5904" width="13.7109375" style="531" customWidth="1"/>
    <col min="5905" max="5905" width="7.28515625" style="531" customWidth="1"/>
    <col min="5906" max="5906" width="8.5703125" style="531" customWidth="1"/>
    <col min="5907" max="5908" width="12.42578125" style="531" customWidth="1"/>
    <col min="5909" max="5909" width="26.5703125" style="531" customWidth="1"/>
    <col min="5910" max="6144" width="12.42578125" style="531"/>
    <col min="6145" max="6145" width="9.85546875" style="531" customWidth="1"/>
    <col min="6146" max="6146" width="10.7109375" style="531" customWidth="1"/>
    <col min="6147" max="6147" width="5.5703125" style="531" customWidth="1"/>
    <col min="6148" max="6148" width="10.28515625" style="531" customWidth="1"/>
    <col min="6149" max="6149" width="8.5703125" style="531" customWidth="1"/>
    <col min="6150" max="6150" width="3.42578125" style="531" customWidth="1"/>
    <col min="6151" max="6151" width="9" style="531" customWidth="1"/>
    <col min="6152" max="6152" width="8.5703125" style="531" customWidth="1"/>
    <col min="6153" max="6153" width="8.7109375" style="531" customWidth="1"/>
    <col min="6154" max="6154" width="9.85546875" style="531" customWidth="1"/>
    <col min="6155" max="6155" width="6.85546875" style="531" customWidth="1"/>
    <col min="6156" max="6156" width="11.5703125" style="531" customWidth="1"/>
    <col min="6157" max="6157" width="9.85546875" style="531" customWidth="1"/>
    <col min="6158" max="6158" width="3.42578125" style="531" customWidth="1"/>
    <col min="6159" max="6159" width="10.28515625" style="531" customWidth="1"/>
    <col min="6160" max="6160" width="13.7109375" style="531" customWidth="1"/>
    <col min="6161" max="6161" width="7.28515625" style="531" customWidth="1"/>
    <col min="6162" max="6162" width="8.5703125" style="531" customWidth="1"/>
    <col min="6163" max="6164" width="12.42578125" style="531" customWidth="1"/>
    <col min="6165" max="6165" width="26.5703125" style="531" customWidth="1"/>
    <col min="6166" max="6400" width="12.42578125" style="531"/>
    <col min="6401" max="6401" width="9.85546875" style="531" customWidth="1"/>
    <col min="6402" max="6402" width="10.7109375" style="531" customWidth="1"/>
    <col min="6403" max="6403" width="5.5703125" style="531" customWidth="1"/>
    <col min="6404" max="6404" width="10.28515625" style="531" customWidth="1"/>
    <col min="6405" max="6405" width="8.5703125" style="531" customWidth="1"/>
    <col min="6406" max="6406" width="3.42578125" style="531" customWidth="1"/>
    <col min="6407" max="6407" width="9" style="531" customWidth="1"/>
    <col min="6408" max="6408" width="8.5703125" style="531" customWidth="1"/>
    <col min="6409" max="6409" width="8.7109375" style="531" customWidth="1"/>
    <col min="6410" max="6410" width="9.85546875" style="531" customWidth="1"/>
    <col min="6411" max="6411" width="6.85546875" style="531" customWidth="1"/>
    <col min="6412" max="6412" width="11.5703125" style="531" customWidth="1"/>
    <col min="6413" max="6413" width="9.85546875" style="531" customWidth="1"/>
    <col min="6414" max="6414" width="3.42578125" style="531" customWidth="1"/>
    <col min="6415" max="6415" width="10.28515625" style="531" customWidth="1"/>
    <col min="6416" max="6416" width="13.7109375" style="531" customWidth="1"/>
    <col min="6417" max="6417" width="7.28515625" style="531" customWidth="1"/>
    <col min="6418" max="6418" width="8.5703125" style="531" customWidth="1"/>
    <col min="6419" max="6420" width="12.42578125" style="531" customWidth="1"/>
    <col min="6421" max="6421" width="26.5703125" style="531" customWidth="1"/>
    <col min="6422" max="6656" width="12.42578125" style="531"/>
    <col min="6657" max="6657" width="9.85546875" style="531" customWidth="1"/>
    <col min="6658" max="6658" width="10.7109375" style="531" customWidth="1"/>
    <col min="6659" max="6659" width="5.5703125" style="531" customWidth="1"/>
    <col min="6660" max="6660" width="10.28515625" style="531" customWidth="1"/>
    <col min="6661" max="6661" width="8.5703125" style="531" customWidth="1"/>
    <col min="6662" max="6662" width="3.42578125" style="531" customWidth="1"/>
    <col min="6663" max="6663" width="9" style="531" customWidth="1"/>
    <col min="6664" max="6664" width="8.5703125" style="531" customWidth="1"/>
    <col min="6665" max="6665" width="8.7109375" style="531" customWidth="1"/>
    <col min="6666" max="6666" width="9.85546875" style="531" customWidth="1"/>
    <col min="6667" max="6667" width="6.85546875" style="531" customWidth="1"/>
    <col min="6668" max="6668" width="11.5703125" style="531" customWidth="1"/>
    <col min="6669" max="6669" width="9.85546875" style="531" customWidth="1"/>
    <col min="6670" max="6670" width="3.42578125" style="531" customWidth="1"/>
    <col min="6671" max="6671" width="10.28515625" style="531" customWidth="1"/>
    <col min="6672" max="6672" width="13.7109375" style="531" customWidth="1"/>
    <col min="6673" max="6673" width="7.28515625" style="531" customWidth="1"/>
    <col min="6674" max="6674" width="8.5703125" style="531" customWidth="1"/>
    <col min="6675" max="6676" width="12.42578125" style="531" customWidth="1"/>
    <col min="6677" max="6677" width="26.5703125" style="531" customWidth="1"/>
    <col min="6678" max="6912" width="12.42578125" style="531"/>
    <col min="6913" max="6913" width="9.85546875" style="531" customWidth="1"/>
    <col min="6914" max="6914" width="10.7109375" style="531" customWidth="1"/>
    <col min="6915" max="6915" width="5.5703125" style="531" customWidth="1"/>
    <col min="6916" max="6916" width="10.28515625" style="531" customWidth="1"/>
    <col min="6917" max="6917" width="8.5703125" style="531" customWidth="1"/>
    <col min="6918" max="6918" width="3.42578125" style="531" customWidth="1"/>
    <col min="6919" max="6919" width="9" style="531" customWidth="1"/>
    <col min="6920" max="6920" width="8.5703125" style="531" customWidth="1"/>
    <col min="6921" max="6921" width="8.7109375" style="531" customWidth="1"/>
    <col min="6922" max="6922" width="9.85546875" style="531" customWidth="1"/>
    <col min="6923" max="6923" width="6.85546875" style="531" customWidth="1"/>
    <col min="6924" max="6924" width="11.5703125" style="531" customWidth="1"/>
    <col min="6925" max="6925" width="9.85546875" style="531" customWidth="1"/>
    <col min="6926" max="6926" width="3.42578125" style="531" customWidth="1"/>
    <col min="6927" max="6927" width="10.28515625" style="531" customWidth="1"/>
    <col min="6928" max="6928" width="13.7109375" style="531" customWidth="1"/>
    <col min="6929" max="6929" width="7.28515625" style="531" customWidth="1"/>
    <col min="6930" max="6930" width="8.5703125" style="531" customWidth="1"/>
    <col min="6931" max="6932" width="12.42578125" style="531" customWidth="1"/>
    <col min="6933" max="6933" width="26.5703125" style="531" customWidth="1"/>
    <col min="6934" max="7168" width="12.42578125" style="531"/>
    <col min="7169" max="7169" width="9.85546875" style="531" customWidth="1"/>
    <col min="7170" max="7170" width="10.7109375" style="531" customWidth="1"/>
    <col min="7171" max="7171" width="5.5703125" style="531" customWidth="1"/>
    <col min="7172" max="7172" width="10.28515625" style="531" customWidth="1"/>
    <col min="7173" max="7173" width="8.5703125" style="531" customWidth="1"/>
    <col min="7174" max="7174" width="3.42578125" style="531" customWidth="1"/>
    <col min="7175" max="7175" width="9" style="531" customWidth="1"/>
    <col min="7176" max="7176" width="8.5703125" style="531" customWidth="1"/>
    <col min="7177" max="7177" width="8.7109375" style="531" customWidth="1"/>
    <col min="7178" max="7178" width="9.85546875" style="531" customWidth="1"/>
    <col min="7179" max="7179" width="6.85546875" style="531" customWidth="1"/>
    <col min="7180" max="7180" width="11.5703125" style="531" customWidth="1"/>
    <col min="7181" max="7181" width="9.85546875" style="531" customWidth="1"/>
    <col min="7182" max="7182" width="3.42578125" style="531" customWidth="1"/>
    <col min="7183" max="7183" width="10.28515625" style="531" customWidth="1"/>
    <col min="7184" max="7184" width="13.7109375" style="531" customWidth="1"/>
    <col min="7185" max="7185" width="7.28515625" style="531" customWidth="1"/>
    <col min="7186" max="7186" width="8.5703125" style="531" customWidth="1"/>
    <col min="7187" max="7188" width="12.42578125" style="531" customWidth="1"/>
    <col min="7189" max="7189" width="26.5703125" style="531" customWidth="1"/>
    <col min="7190" max="7424" width="12.42578125" style="531"/>
    <col min="7425" max="7425" width="9.85546875" style="531" customWidth="1"/>
    <col min="7426" max="7426" width="10.7109375" style="531" customWidth="1"/>
    <col min="7427" max="7427" width="5.5703125" style="531" customWidth="1"/>
    <col min="7428" max="7428" width="10.28515625" style="531" customWidth="1"/>
    <col min="7429" max="7429" width="8.5703125" style="531" customWidth="1"/>
    <col min="7430" max="7430" width="3.42578125" style="531" customWidth="1"/>
    <col min="7431" max="7431" width="9" style="531" customWidth="1"/>
    <col min="7432" max="7432" width="8.5703125" style="531" customWidth="1"/>
    <col min="7433" max="7433" width="8.7109375" style="531" customWidth="1"/>
    <col min="7434" max="7434" width="9.85546875" style="531" customWidth="1"/>
    <col min="7435" max="7435" width="6.85546875" style="531" customWidth="1"/>
    <col min="7436" max="7436" width="11.5703125" style="531" customWidth="1"/>
    <col min="7437" max="7437" width="9.85546875" style="531" customWidth="1"/>
    <col min="7438" max="7438" width="3.42578125" style="531" customWidth="1"/>
    <col min="7439" max="7439" width="10.28515625" style="531" customWidth="1"/>
    <col min="7440" max="7440" width="13.7109375" style="531" customWidth="1"/>
    <col min="7441" max="7441" width="7.28515625" style="531" customWidth="1"/>
    <col min="7442" max="7442" width="8.5703125" style="531" customWidth="1"/>
    <col min="7443" max="7444" width="12.42578125" style="531" customWidth="1"/>
    <col min="7445" max="7445" width="26.5703125" style="531" customWidth="1"/>
    <col min="7446" max="7680" width="12.42578125" style="531"/>
    <col min="7681" max="7681" width="9.85546875" style="531" customWidth="1"/>
    <col min="7682" max="7682" width="10.7109375" style="531" customWidth="1"/>
    <col min="7683" max="7683" width="5.5703125" style="531" customWidth="1"/>
    <col min="7684" max="7684" width="10.28515625" style="531" customWidth="1"/>
    <col min="7685" max="7685" width="8.5703125" style="531" customWidth="1"/>
    <col min="7686" max="7686" width="3.42578125" style="531" customWidth="1"/>
    <col min="7687" max="7687" width="9" style="531" customWidth="1"/>
    <col min="7688" max="7688" width="8.5703125" style="531" customWidth="1"/>
    <col min="7689" max="7689" width="8.7109375" style="531" customWidth="1"/>
    <col min="7690" max="7690" width="9.85546875" style="531" customWidth="1"/>
    <col min="7691" max="7691" width="6.85546875" style="531" customWidth="1"/>
    <col min="7692" max="7692" width="11.5703125" style="531" customWidth="1"/>
    <col min="7693" max="7693" width="9.85546875" style="531" customWidth="1"/>
    <col min="7694" max="7694" width="3.42578125" style="531" customWidth="1"/>
    <col min="7695" max="7695" width="10.28515625" style="531" customWidth="1"/>
    <col min="7696" max="7696" width="13.7109375" style="531" customWidth="1"/>
    <col min="7697" max="7697" width="7.28515625" style="531" customWidth="1"/>
    <col min="7698" max="7698" width="8.5703125" style="531" customWidth="1"/>
    <col min="7699" max="7700" width="12.42578125" style="531" customWidth="1"/>
    <col min="7701" max="7701" width="26.5703125" style="531" customWidth="1"/>
    <col min="7702" max="7936" width="12.42578125" style="531"/>
    <col min="7937" max="7937" width="9.85546875" style="531" customWidth="1"/>
    <col min="7938" max="7938" width="10.7109375" style="531" customWidth="1"/>
    <col min="7939" max="7939" width="5.5703125" style="531" customWidth="1"/>
    <col min="7940" max="7940" width="10.28515625" style="531" customWidth="1"/>
    <col min="7941" max="7941" width="8.5703125" style="531" customWidth="1"/>
    <col min="7942" max="7942" width="3.42578125" style="531" customWidth="1"/>
    <col min="7943" max="7943" width="9" style="531" customWidth="1"/>
    <col min="7944" max="7944" width="8.5703125" style="531" customWidth="1"/>
    <col min="7945" max="7945" width="8.7109375" style="531" customWidth="1"/>
    <col min="7946" max="7946" width="9.85546875" style="531" customWidth="1"/>
    <col min="7947" max="7947" width="6.85546875" style="531" customWidth="1"/>
    <col min="7948" max="7948" width="11.5703125" style="531" customWidth="1"/>
    <col min="7949" max="7949" width="9.85546875" style="531" customWidth="1"/>
    <col min="7950" max="7950" width="3.42578125" style="531" customWidth="1"/>
    <col min="7951" max="7951" width="10.28515625" style="531" customWidth="1"/>
    <col min="7952" max="7952" width="13.7109375" style="531" customWidth="1"/>
    <col min="7953" max="7953" width="7.28515625" style="531" customWidth="1"/>
    <col min="7954" max="7954" width="8.5703125" style="531" customWidth="1"/>
    <col min="7955" max="7956" width="12.42578125" style="531" customWidth="1"/>
    <col min="7957" max="7957" width="26.5703125" style="531" customWidth="1"/>
    <col min="7958" max="8192" width="12.42578125" style="531"/>
    <col min="8193" max="8193" width="9.85546875" style="531" customWidth="1"/>
    <col min="8194" max="8194" width="10.7109375" style="531" customWidth="1"/>
    <col min="8195" max="8195" width="5.5703125" style="531" customWidth="1"/>
    <col min="8196" max="8196" width="10.28515625" style="531" customWidth="1"/>
    <col min="8197" max="8197" width="8.5703125" style="531" customWidth="1"/>
    <col min="8198" max="8198" width="3.42578125" style="531" customWidth="1"/>
    <col min="8199" max="8199" width="9" style="531" customWidth="1"/>
    <col min="8200" max="8200" width="8.5703125" style="531" customWidth="1"/>
    <col min="8201" max="8201" width="8.7109375" style="531" customWidth="1"/>
    <col min="8202" max="8202" width="9.85546875" style="531" customWidth="1"/>
    <col min="8203" max="8203" width="6.85546875" style="531" customWidth="1"/>
    <col min="8204" max="8204" width="11.5703125" style="531" customWidth="1"/>
    <col min="8205" max="8205" width="9.85546875" style="531" customWidth="1"/>
    <col min="8206" max="8206" width="3.42578125" style="531" customWidth="1"/>
    <col min="8207" max="8207" width="10.28515625" style="531" customWidth="1"/>
    <col min="8208" max="8208" width="13.7109375" style="531" customWidth="1"/>
    <col min="8209" max="8209" width="7.28515625" style="531" customWidth="1"/>
    <col min="8210" max="8210" width="8.5703125" style="531" customWidth="1"/>
    <col min="8211" max="8212" width="12.42578125" style="531" customWidth="1"/>
    <col min="8213" max="8213" width="26.5703125" style="531" customWidth="1"/>
    <col min="8214" max="8448" width="12.42578125" style="531"/>
    <col min="8449" max="8449" width="9.85546875" style="531" customWidth="1"/>
    <col min="8450" max="8450" width="10.7109375" style="531" customWidth="1"/>
    <col min="8451" max="8451" width="5.5703125" style="531" customWidth="1"/>
    <col min="8452" max="8452" width="10.28515625" style="531" customWidth="1"/>
    <col min="8453" max="8453" width="8.5703125" style="531" customWidth="1"/>
    <col min="8454" max="8454" width="3.42578125" style="531" customWidth="1"/>
    <col min="8455" max="8455" width="9" style="531" customWidth="1"/>
    <col min="8456" max="8456" width="8.5703125" style="531" customWidth="1"/>
    <col min="8457" max="8457" width="8.7109375" style="531" customWidth="1"/>
    <col min="8458" max="8458" width="9.85546875" style="531" customWidth="1"/>
    <col min="8459" max="8459" width="6.85546875" style="531" customWidth="1"/>
    <col min="8460" max="8460" width="11.5703125" style="531" customWidth="1"/>
    <col min="8461" max="8461" width="9.85546875" style="531" customWidth="1"/>
    <col min="8462" max="8462" width="3.42578125" style="531" customWidth="1"/>
    <col min="8463" max="8463" width="10.28515625" style="531" customWidth="1"/>
    <col min="8464" max="8464" width="13.7109375" style="531" customWidth="1"/>
    <col min="8465" max="8465" width="7.28515625" style="531" customWidth="1"/>
    <col min="8466" max="8466" width="8.5703125" style="531" customWidth="1"/>
    <col min="8467" max="8468" width="12.42578125" style="531" customWidth="1"/>
    <col min="8469" max="8469" width="26.5703125" style="531" customWidth="1"/>
    <col min="8470" max="8704" width="12.42578125" style="531"/>
    <col min="8705" max="8705" width="9.85546875" style="531" customWidth="1"/>
    <col min="8706" max="8706" width="10.7109375" style="531" customWidth="1"/>
    <col min="8707" max="8707" width="5.5703125" style="531" customWidth="1"/>
    <col min="8708" max="8708" width="10.28515625" style="531" customWidth="1"/>
    <col min="8709" max="8709" width="8.5703125" style="531" customWidth="1"/>
    <col min="8710" max="8710" width="3.42578125" style="531" customWidth="1"/>
    <col min="8711" max="8711" width="9" style="531" customWidth="1"/>
    <col min="8712" max="8712" width="8.5703125" style="531" customWidth="1"/>
    <col min="8713" max="8713" width="8.7109375" style="531" customWidth="1"/>
    <col min="8714" max="8714" width="9.85546875" style="531" customWidth="1"/>
    <col min="8715" max="8715" width="6.85546875" style="531" customWidth="1"/>
    <col min="8716" max="8716" width="11.5703125" style="531" customWidth="1"/>
    <col min="8717" max="8717" width="9.85546875" style="531" customWidth="1"/>
    <col min="8718" max="8718" width="3.42578125" style="531" customWidth="1"/>
    <col min="8719" max="8719" width="10.28515625" style="531" customWidth="1"/>
    <col min="8720" max="8720" width="13.7109375" style="531" customWidth="1"/>
    <col min="8721" max="8721" width="7.28515625" style="531" customWidth="1"/>
    <col min="8722" max="8722" width="8.5703125" style="531" customWidth="1"/>
    <col min="8723" max="8724" width="12.42578125" style="531" customWidth="1"/>
    <col min="8725" max="8725" width="26.5703125" style="531" customWidth="1"/>
    <col min="8726" max="8960" width="12.42578125" style="531"/>
    <col min="8961" max="8961" width="9.85546875" style="531" customWidth="1"/>
    <col min="8962" max="8962" width="10.7109375" style="531" customWidth="1"/>
    <col min="8963" max="8963" width="5.5703125" style="531" customWidth="1"/>
    <col min="8964" max="8964" width="10.28515625" style="531" customWidth="1"/>
    <col min="8965" max="8965" width="8.5703125" style="531" customWidth="1"/>
    <col min="8966" max="8966" width="3.42578125" style="531" customWidth="1"/>
    <col min="8967" max="8967" width="9" style="531" customWidth="1"/>
    <col min="8968" max="8968" width="8.5703125" style="531" customWidth="1"/>
    <col min="8969" max="8969" width="8.7109375" style="531" customWidth="1"/>
    <col min="8970" max="8970" width="9.85546875" style="531" customWidth="1"/>
    <col min="8971" max="8971" width="6.85546875" style="531" customWidth="1"/>
    <col min="8972" max="8972" width="11.5703125" style="531" customWidth="1"/>
    <col min="8973" max="8973" width="9.85546875" style="531" customWidth="1"/>
    <col min="8974" max="8974" width="3.42578125" style="531" customWidth="1"/>
    <col min="8975" max="8975" width="10.28515625" style="531" customWidth="1"/>
    <col min="8976" max="8976" width="13.7109375" style="531" customWidth="1"/>
    <col min="8977" max="8977" width="7.28515625" style="531" customWidth="1"/>
    <col min="8978" max="8978" width="8.5703125" style="531" customWidth="1"/>
    <col min="8979" max="8980" width="12.42578125" style="531" customWidth="1"/>
    <col min="8981" max="8981" width="26.5703125" style="531" customWidth="1"/>
    <col min="8982" max="9216" width="12.42578125" style="531"/>
    <col min="9217" max="9217" width="9.85546875" style="531" customWidth="1"/>
    <col min="9218" max="9218" width="10.7109375" style="531" customWidth="1"/>
    <col min="9219" max="9219" width="5.5703125" style="531" customWidth="1"/>
    <col min="9220" max="9220" width="10.28515625" style="531" customWidth="1"/>
    <col min="9221" max="9221" width="8.5703125" style="531" customWidth="1"/>
    <col min="9222" max="9222" width="3.42578125" style="531" customWidth="1"/>
    <col min="9223" max="9223" width="9" style="531" customWidth="1"/>
    <col min="9224" max="9224" width="8.5703125" style="531" customWidth="1"/>
    <col min="9225" max="9225" width="8.7109375" style="531" customWidth="1"/>
    <col min="9226" max="9226" width="9.85546875" style="531" customWidth="1"/>
    <col min="9227" max="9227" width="6.85546875" style="531" customWidth="1"/>
    <col min="9228" max="9228" width="11.5703125" style="531" customWidth="1"/>
    <col min="9229" max="9229" width="9.85546875" style="531" customWidth="1"/>
    <col min="9230" max="9230" width="3.42578125" style="531" customWidth="1"/>
    <col min="9231" max="9231" width="10.28515625" style="531" customWidth="1"/>
    <col min="9232" max="9232" width="13.7109375" style="531" customWidth="1"/>
    <col min="9233" max="9233" width="7.28515625" style="531" customWidth="1"/>
    <col min="9234" max="9234" width="8.5703125" style="531" customWidth="1"/>
    <col min="9235" max="9236" width="12.42578125" style="531" customWidth="1"/>
    <col min="9237" max="9237" width="26.5703125" style="531" customWidth="1"/>
    <col min="9238" max="9472" width="12.42578125" style="531"/>
    <col min="9473" max="9473" width="9.85546875" style="531" customWidth="1"/>
    <col min="9474" max="9474" width="10.7109375" style="531" customWidth="1"/>
    <col min="9475" max="9475" width="5.5703125" style="531" customWidth="1"/>
    <col min="9476" max="9476" width="10.28515625" style="531" customWidth="1"/>
    <col min="9477" max="9477" width="8.5703125" style="531" customWidth="1"/>
    <col min="9478" max="9478" width="3.42578125" style="531" customWidth="1"/>
    <col min="9479" max="9479" width="9" style="531" customWidth="1"/>
    <col min="9480" max="9480" width="8.5703125" style="531" customWidth="1"/>
    <col min="9481" max="9481" width="8.7109375" style="531" customWidth="1"/>
    <col min="9482" max="9482" width="9.85546875" style="531" customWidth="1"/>
    <col min="9483" max="9483" width="6.85546875" style="531" customWidth="1"/>
    <col min="9484" max="9484" width="11.5703125" style="531" customWidth="1"/>
    <col min="9485" max="9485" width="9.85546875" style="531" customWidth="1"/>
    <col min="9486" max="9486" width="3.42578125" style="531" customWidth="1"/>
    <col min="9487" max="9487" width="10.28515625" style="531" customWidth="1"/>
    <col min="9488" max="9488" width="13.7109375" style="531" customWidth="1"/>
    <col min="9489" max="9489" width="7.28515625" style="531" customWidth="1"/>
    <col min="9490" max="9490" width="8.5703125" style="531" customWidth="1"/>
    <col min="9491" max="9492" width="12.42578125" style="531" customWidth="1"/>
    <col min="9493" max="9493" width="26.5703125" style="531" customWidth="1"/>
    <col min="9494" max="9728" width="12.42578125" style="531"/>
    <col min="9729" max="9729" width="9.85546875" style="531" customWidth="1"/>
    <col min="9730" max="9730" width="10.7109375" style="531" customWidth="1"/>
    <col min="9731" max="9731" width="5.5703125" style="531" customWidth="1"/>
    <col min="9732" max="9732" width="10.28515625" style="531" customWidth="1"/>
    <col min="9733" max="9733" width="8.5703125" style="531" customWidth="1"/>
    <col min="9734" max="9734" width="3.42578125" style="531" customWidth="1"/>
    <col min="9735" max="9735" width="9" style="531" customWidth="1"/>
    <col min="9736" max="9736" width="8.5703125" style="531" customWidth="1"/>
    <col min="9737" max="9737" width="8.7109375" style="531" customWidth="1"/>
    <col min="9738" max="9738" width="9.85546875" style="531" customWidth="1"/>
    <col min="9739" max="9739" width="6.85546875" style="531" customWidth="1"/>
    <col min="9740" max="9740" width="11.5703125" style="531" customWidth="1"/>
    <col min="9741" max="9741" width="9.85546875" style="531" customWidth="1"/>
    <col min="9742" max="9742" width="3.42578125" style="531" customWidth="1"/>
    <col min="9743" max="9743" width="10.28515625" style="531" customWidth="1"/>
    <col min="9744" max="9744" width="13.7109375" style="531" customWidth="1"/>
    <col min="9745" max="9745" width="7.28515625" style="531" customWidth="1"/>
    <col min="9746" max="9746" width="8.5703125" style="531" customWidth="1"/>
    <col min="9747" max="9748" width="12.42578125" style="531" customWidth="1"/>
    <col min="9749" max="9749" width="26.5703125" style="531" customWidth="1"/>
    <col min="9750" max="9984" width="12.42578125" style="531"/>
    <col min="9985" max="9985" width="9.85546875" style="531" customWidth="1"/>
    <col min="9986" max="9986" width="10.7109375" style="531" customWidth="1"/>
    <col min="9987" max="9987" width="5.5703125" style="531" customWidth="1"/>
    <col min="9988" max="9988" width="10.28515625" style="531" customWidth="1"/>
    <col min="9989" max="9989" width="8.5703125" style="531" customWidth="1"/>
    <col min="9990" max="9990" width="3.42578125" style="531" customWidth="1"/>
    <col min="9991" max="9991" width="9" style="531" customWidth="1"/>
    <col min="9992" max="9992" width="8.5703125" style="531" customWidth="1"/>
    <col min="9993" max="9993" width="8.7109375" style="531" customWidth="1"/>
    <col min="9994" max="9994" width="9.85546875" style="531" customWidth="1"/>
    <col min="9995" max="9995" width="6.85546875" style="531" customWidth="1"/>
    <col min="9996" max="9996" width="11.5703125" style="531" customWidth="1"/>
    <col min="9997" max="9997" width="9.85546875" style="531" customWidth="1"/>
    <col min="9998" max="9998" width="3.42578125" style="531" customWidth="1"/>
    <col min="9999" max="9999" width="10.28515625" style="531" customWidth="1"/>
    <col min="10000" max="10000" width="13.7109375" style="531" customWidth="1"/>
    <col min="10001" max="10001" width="7.28515625" style="531" customWidth="1"/>
    <col min="10002" max="10002" width="8.5703125" style="531" customWidth="1"/>
    <col min="10003" max="10004" width="12.42578125" style="531" customWidth="1"/>
    <col min="10005" max="10005" width="26.5703125" style="531" customWidth="1"/>
    <col min="10006" max="10240" width="12.42578125" style="531"/>
    <col min="10241" max="10241" width="9.85546875" style="531" customWidth="1"/>
    <col min="10242" max="10242" width="10.7109375" style="531" customWidth="1"/>
    <col min="10243" max="10243" width="5.5703125" style="531" customWidth="1"/>
    <col min="10244" max="10244" width="10.28515625" style="531" customWidth="1"/>
    <col min="10245" max="10245" width="8.5703125" style="531" customWidth="1"/>
    <col min="10246" max="10246" width="3.42578125" style="531" customWidth="1"/>
    <col min="10247" max="10247" width="9" style="531" customWidth="1"/>
    <col min="10248" max="10248" width="8.5703125" style="531" customWidth="1"/>
    <col min="10249" max="10249" width="8.7109375" style="531" customWidth="1"/>
    <col min="10250" max="10250" width="9.85546875" style="531" customWidth="1"/>
    <col min="10251" max="10251" width="6.85546875" style="531" customWidth="1"/>
    <col min="10252" max="10252" width="11.5703125" style="531" customWidth="1"/>
    <col min="10253" max="10253" width="9.85546875" style="531" customWidth="1"/>
    <col min="10254" max="10254" width="3.42578125" style="531" customWidth="1"/>
    <col min="10255" max="10255" width="10.28515625" style="531" customWidth="1"/>
    <col min="10256" max="10256" width="13.7109375" style="531" customWidth="1"/>
    <col min="10257" max="10257" width="7.28515625" style="531" customWidth="1"/>
    <col min="10258" max="10258" width="8.5703125" style="531" customWidth="1"/>
    <col min="10259" max="10260" width="12.42578125" style="531" customWidth="1"/>
    <col min="10261" max="10261" width="26.5703125" style="531" customWidth="1"/>
    <col min="10262" max="10496" width="12.42578125" style="531"/>
    <col min="10497" max="10497" width="9.85546875" style="531" customWidth="1"/>
    <col min="10498" max="10498" width="10.7109375" style="531" customWidth="1"/>
    <col min="10499" max="10499" width="5.5703125" style="531" customWidth="1"/>
    <col min="10500" max="10500" width="10.28515625" style="531" customWidth="1"/>
    <col min="10501" max="10501" width="8.5703125" style="531" customWidth="1"/>
    <col min="10502" max="10502" width="3.42578125" style="531" customWidth="1"/>
    <col min="10503" max="10503" width="9" style="531" customWidth="1"/>
    <col min="10504" max="10504" width="8.5703125" style="531" customWidth="1"/>
    <col min="10505" max="10505" width="8.7109375" style="531" customWidth="1"/>
    <col min="10506" max="10506" width="9.85546875" style="531" customWidth="1"/>
    <col min="10507" max="10507" width="6.85546875" style="531" customWidth="1"/>
    <col min="10508" max="10508" width="11.5703125" style="531" customWidth="1"/>
    <col min="10509" max="10509" width="9.85546875" style="531" customWidth="1"/>
    <col min="10510" max="10510" width="3.42578125" style="531" customWidth="1"/>
    <col min="10511" max="10511" width="10.28515625" style="531" customWidth="1"/>
    <col min="10512" max="10512" width="13.7109375" style="531" customWidth="1"/>
    <col min="10513" max="10513" width="7.28515625" style="531" customWidth="1"/>
    <col min="10514" max="10514" width="8.5703125" style="531" customWidth="1"/>
    <col min="10515" max="10516" width="12.42578125" style="531" customWidth="1"/>
    <col min="10517" max="10517" width="26.5703125" style="531" customWidth="1"/>
    <col min="10518" max="10752" width="12.42578125" style="531"/>
    <col min="10753" max="10753" width="9.85546875" style="531" customWidth="1"/>
    <col min="10754" max="10754" width="10.7109375" style="531" customWidth="1"/>
    <col min="10755" max="10755" width="5.5703125" style="531" customWidth="1"/>
    <col min="10756" max="10756" width="10.28515625" style="531" customWidth="1"/>
    <col min="10757" max="10757" width="8.5703125" style="531" customWidth="1"/>
    <col min="10758" max="10758" width="3.42578125" style="531" customWidth="1"/>
    <col min="10759" max="10759" width="9" style="531" customWidth="1"/>
    <col min="10760" max="10760" width="8.5703125" style="531" customWidth="1"/>
    <col min="10761" max="10761" width="8.7109375" style="531" customWidth="1"/>
    <col min="10762" max="10762" width="9.85546875" style="531" customWidth="1"/>
    <col min="10763" max="10763" width="6.85546875" style="531" customWidth="1"/>
    <col min="10764" max="10764" width="11.5703125" style="531" customWidth="1"/>
    <col min="10765" max="10765" width="9.85546875" style="531" customWidth="1"/>
    <col min="10766" max="10766" width="3.42578125" style="531" customWidth="1"/>
    <col min="10767" max="10767" width="10.28515625" style="531" customWidth="1"/>
    <col min="10768" max="10768" width="13.7109375" style="531" customWidth="1"/>
    <col min="10769" max="10769" width="7.28515625" style="531" customWidth="1"/>
    <col min="10770" max="10770" width="8.5703125" style="531" customWidth="1"/>
    <col min="10771" max="10772" width="12.42578125" style="531" customWidth="1"/>
    <col min="10773" max="10773" width="26.5703125" style="531" customWidth="1"/>
    <col min="10774" max="11008" width="12.42578125" style="531"/>
    <col min="11009" max="11009" width="9.85546875" style="531" customWidth="1"/>
    <col min="11010" max="11010" width="10.7109375" style="531" customWidth="1"/>
    <col min="11011" max="11011" width="5.5703125" style="531" customWidth="1"/>
    <col min="11012" max="11012" width="10.28515625" style="531" customWidth="1"/>
    <col min="11013" max="11013" width="8.5703125" style="531" customWidth="1"/>
    <col min="11014" max="11014" width="3.42578125" style="531" customWidth="1"/>
    <col min="11015" max="11015" width="9" style="531" customWidth="1"/>
    <col min="11016" max="11016" width="8.5703125" style="531" customWidth="1"/>
    <col min="11017" max="11017" width="8.7109375" style="531" customWidth="1"/>
    <col min="11018" max="11018" width="9.85546875" style="531" customWidth="1"/>
    <col min="11019" max="11019" width="6.85546875" style="531" customWidth="1"/>
    <col min="11020" max="11020" width="11.5703125" style="531" customWidth="1"/>
    <col min="11021" max="11021" width="9.85546875" style="531" customWidth="1"/>
    <col min="11022" max="11022" width="3.42578125" style="531" customWidth="1"/>
    <col min="11023" max="11023" width="10.28515625" style="531" customWidth="1"/>
    <col min="11024" max="11024" width="13.7109375" style="531" customWidth="1"/>
    <col min="11025" max="11025" width="7.28515625" style="531" customWidth="1"/>
    <col min="11026" max="11026" width="8.5703125" style="531" customWidth="1"/>
    <col min="11027" max="11028" width="12.42578125" style="531" customWidth="1"/>
    <col min="11029" max="11029" width="26.5703125" style="531" customWidth="1"/>
    <col min="11030" max="11264" width="12.42578125" style="531"/>
    <col min="11265" max="11265" width="9.85546875" style="531" customWidth="1"/>
    <col min="11266" max="11266" width="10.7109375" style="531" customWidth="1"/>
    <col min="11267" max="11267" width="5.5703125" style="531" customWidth="1"/>
    <col min="11268" max="11268" width="10.28515625" style="531" customWidth="1"/>
    <col min="11269" max="11269" width="8.5703125" style="531" customWidth="1"/>
    <col min="11270" max="11270" width="3.42578125" style="531" customWidth="1"/>
    <col min="11271" max="11271" width="9" style="531" customWidth="1"/>
    <col min="11272" max="11272" width="8.5703125" style="531" customWidth="1"/>
    <col min="11273" max="11273" width="8.7109375" style="531" customWidth="1"/>
    <col min="11274" max="11274" width="9.85546875" style="531" customWidth="1"/>
    <col min="11275" max="11275" width="6.85546875" style="531" customWidth="1"/>
    <col min="11276" max="11276" width="11.5703125" style="531" customWidth="1"/>
    <col min="11277" max="11277" width="9.85546875" style="531" customWidth="1"/>
    <col min="11278" max="11278" width="3.42578125" style="531" customWidth="1"/>
    <col min="11279" max="11279" width="10.28515625" style="531" customWidth="1"/>
    <col min="11280" max="11280" width="13.7109375" style="531" customWidth="1"/>
    <col min="11281" max="11281" width="7.28515625" style="531" customWidth="1"/>
    <col min="11282" max="11282" width="8.5703125" style="531" customWidth="1"/>
    <col min="11283" max="11284" width="12.42578125" style="531" customWidth="1"/>
    <col min="11285" max="11285" width="26.5703125" style="531" customWidth="1"/>
    <col min="11286" max="11520" width="12.42578125" style="531"/>
    <col min="11521" max="11521" width="9.85546875" style="531" customWidth="1"/>
    <col min="11522" max="11522" width="10.7109375" style="531" customWidth="1"/>
    <col min="11523" max="11523" width="5.5703125" style="531" customWidth="1"/>
    <col min="11524" max="11524" width="10.28515625" style="531" customWidth="1"/>
    <col min="11525" max="11525" width="8.5703125" style="531" customWidth="1"/>
    <col min="11526" max="11526" width="3.42578125" style="531" customWidth="1"/>
    <col min="11527" max="11527" width="9" style="531" customWidth="1"/>
    <col min="11528" max="11528" width="8.5703125" style="531" customWidth="1"/>
    <col min="11529" max="11529" width="8.7109375" style="531" customWidth="1"/>
    <col min="11530" max="11530" width="9.85546875" style="531" customWidth="1"/>
    <col min="11531" max="11531" width="6.85546875" style="531" customWidth="1"/>
    <col min="11532" max="11532" width="11.5703125" style="531" customWidth="1"/>
    <col min="11533" max="11533" width="9.85546875" style="531" customWidth="1"/>
    <col min="11534" max="11534" width="3.42578125" style="531" customWidth="1"/>
    <col min="11535" max="11535" width="10.28515625" style="531" customWidth="1"/>
    <col min="11536" max="11536" width="13.7109375" style="531" customWidth="1"/>
    <col min="11537" max="11537" width="7.28515625" style="531" customWidth="1"/>
    <col min="11538" max="11538" width="8.5703125" style="531" customWidth="1"/>
    <col min="11539" max="11540" width="12.42578125" style="531" customWidth="1"/>
    <col min="11541" max="11541" width="26.5703125" style="531" customWidth="1"/>
    <col min="11542" max="11776" width="12.42578125" style="531"/>
    <col min="11777" max="11777" width="9.85546875" style="531" customWidth="1"/>
    <col min="11778" max="11778" width="10.7109375" style="531" customWidth="1"/>
    <col min="11779" max="11779" width="5.5703125" style="531" customWidth="1"/>
    <col min="11780" max="11780" width="10.28515625" style="531" customWidth="1"/>
    <col min="11781" max="11781" width="8.5703125" style="531" customWidth="1"/>
    <col min="11782" max="11782" width="3.42578125" style="531" customWidth="1"/>
    <col min="11783" max="11783" width="9" style="531" customWidth="1"/>
    <col min="11784" max="11784" width="8.5703125" style="531" customWidth="1"/>
    <col min="11785" max="11785" width="8.7109375" style="531" customWidth="1"/>
    <col min="11786" max="11786" width="9.85546875" style="531" customWidth="1"/>
    <col min="11787" max="11787" width="6.85546875" style="531" customWidth="1"/>
    <col min="11788" max="11788" width="11.5703125" style="531" customWidth="1"/>
    <col min="11789" max="11789" width="9.85546875" style="531" customWidth="1"/>
    <col min="11790" max="11790" width="3.42578125" style="531" customWidth="1"/>
    <col min="11791" max="11791" width="10.28515625" style="531" customWidth="1"/>
    <col min="11792" max="11792" width="13.7109375" style="531" customWidth="1"/>
    <col min="11793" max="11793" width="7.28515625" style="531" customWidth="1"/>
    <col min="11794" max="11794" width="8.5703125" style="531" customWidth="1"/>
    <col min="11795" max="11796" width="12.42578125" style="531" customWidth="1"/>
    <col min="11797" max="11797" width="26.5703125" style="531" customWidth="1"/>
    <col min="11798" max="12032" width="12.42578125" style="531"/>
    <col min="12033" max="12033" width="9.85546875" style="531" customWidth="1"/>
    <col min="12034" max="12034" width="10.7109375" style="531" customWidth="1"/>
    <col min="12035" max="12035" width="5.5703125" style="531" customWidth="1"/>
    <col min="12036" max="12036" width="10.28515625" style="531" customWidth="1"/>
    <col min="12037" max="12037" width="8.5703125" style="531" customWidth="1"/>
    <col min="12038" max="12038" width="3.42578125" style="531" customWidth="1"/>
    <col min="12039" max="12039" width="9" style="531" customWidth="1"/>
    <col min="12040" max="12040" width="8.5703125" style="531" customWidth="1"/>
    <col min="12041" max="12041" width="8.7109375" style="531" customWidth="1"/>
    <col min="12042" max="12042" width="9.85546875" style="531" customWidth="1"/>
    <col min="12043" max="12043" width="6.85546875" style="531" customWidth="1"/>
    <col min="12044" max="12044" width="11.5703125" style="531" customWidth="1"/>
    <col min="12045" max="12045" width="9.85546875" style="531" customWidth="1"/>
    <col min="12046" max="12046" width="3.42578125" style="531" customWidth="1"/>
    <col min="12047" max="12047" width="10.28515625" style="531" customWidth="1"/>
    <col min="12048" max="12048" width="13.7109375" style="531" customWidth="1"/>
    <col min="12049" max="12049" width="7.28515625" style="531" customWidth="1"/>
    <col min="12050" max="12050" width="8.5703125" style="531" customWidth="1"/>
    <col min="12051" max="12052" width="12.42578125" style="531" customWidth="1"/>
    <col min="12053" max="12053" width="26.5703125" style="531" customWidth="1"/>
    <col min="12054" max="12288" width="12.42578125" style="531"/>
    <col min="12289" max="12289" width="9.85546875" style="531" customWidth="1"/>
    <col min="12290" max="12290" width="10.7109375" style="531" customWidth="1"/>
    <col min="12291" max="12291" width="5.5703125" style="531" customWidth="1"/>
    <col min="12292" max="12292" width="10.28515625" style="531" customWidth="1"/>
    <col min="12293" max="12293" width="8.5703125" style="531" customWidth="1"/>
    <col min="12294" max="12294" width="3.42578125" style="531" customWidth="1"/>
    <col min="12295" max="12295" width="9" style="531" customWidth="1"/>
    <col min="12296" max="12296" width="8.5703125" style="531" customWidth="1"/>
    <col min="12297" max="12297" width="8.7109375" style="531" customWidth="1"/>
    <col min="12298" max="12298" width="9.85546875" style="531" customWidth="1"/>
    <col min="12299" max="12299" width="6.85546875" style="531" customWidth="1"/>
    <col min="12300" max="12300" width="11.5703125" style="531" customWidth="1"/>
    <col min="12301" max="12301" width="9.85546875" style="531" customWidth="1"/>
    <col min="12302" max="12302" width="3.42578125" style="531" customWidth="1"/>
    <col min="12303" max="12303" width="10.28515625" style="531" customWidth="1"/>
    <col min="12304" max="12304" width="13.7109375" style="531" customWidth="1"/>
    <col min="12305" max="12305" width="7.28515625" style="531" customWidth="1"/>
    <col min="12306" max="12306" width="8.5703125" style="531" customWidth="1"/>
    <col min="12307" max="12308" width="12.42578125" style="531" customWidth="1"/>
    <col min="12309" max="12309" width="26.5703125" style="531" customWidth="1"/>
    <col min="12310" max="12544" width="12.42578125" style="531"/>
    <col min="12545" max="12545" width="9.85546875" style="531" customWidth="1"/>
    <col min="12546" max="12546" width="10.7109375" style="531" customWidth="1"/>
    <col min="12547" max="12547" width="5.5703125" style="531" customWidth="1"/>
    <col min="12548" max="12548" width="10.28515625" style="531" customWidth="1"/>
    <col min="12549" max="12549" width="8.5703125" style="531" customWidth="1"/>
    <col min="12550" max="12550" width="3.42578125" style="531" customWidth="1"/>
    <col min="12551" max="12551" width="9" style="531" customWidth="1"/>
    <col min="12552" max="12552" width="8.5703125" style="531" customWidth="1"/>
    <col min="12553" max="12553" width="8.7109375" style="531" customWidth="1"/>
    <col min="12554" max="12554" width="9.85546875" style="531" customWidth="1"/>
    <col min="12555" max="12555" width="6.85546875" style="531" customWidth="1"/>
    <col min="12556" max="12556" width="11.5703125" style="531" customWidth="1"/>
    <col min="12557" max="12557" width="9.85546875" style="531" customWidth="1"/>
    <col min="12558" max="12558" width="3.42578125" style="531" customWidth="1"/>
    <col min="12559" max="12559" width="10.28515625" style="531" customWidth="1"/>
    <col min="12560" max="12560" width="13.7109375" style="531" customWidth="1"/>
    <col min="12561" max="12561" width="7.28515625" style="531" customWidth="1"/>
    <col min="12562" max="12562" width="8.5703125" style="531" customWidth="1"/>
    <col min="12563" max="12564" width="12.42578125" style="531" customWidth="1"/>
    <col min="12565" max="12565" width="26.5703125" style="531" customWidth="1"/>
    <col min="12566" max="12800" width="12.42578125" style="531"/>
    <col min="12801" max="12801" width="9.85546875" style="531" customWidth="1"/>
    <col min="12802" max="12802" width="10.7109375" style="531" customWidth="1"/>
    <col min="12803" max="12803" width="5.5703125" style="531" customWidth="1"/>
    <col min="12804" max="12804" width="10.28515625" style="531" customWidth="1"/>
    <col min="12805" max="12805" width="8.5703125" style="531" customWidth="1"/>
    <col min="12806" max="12806" width="3.42578125" style="531" customWidth="1"/>
    <col min="12807" max="12807" width="9" style="531" customWidth="1"/>
    <col min="12808" max="12808" width="8.5703125" style="531" customWidth="1"/>
    <col min="12809" max="12809" width="8.7109375" style="531" customWidth="1"/>
    <col min="12810" max="12810" width="9.85546875" style="531" customWidth="1"/>
    <col min="12811" max="12811" width="6.85546875" style="531" customWidth="1"/>
    <col min="12812" max="12812" width="11.5703125" style="531" customWidth="1"/>
    <col min="12813" max="12813" width="9.85546875" style="531" customWidth="1"/>
    <col min="12814" max="12814" width="3.42578125" style="531" customWidth="1"/>
    <col min="12815" max="12815" width="10.28515625" style="531" customWidth="1"/>
    <col min="12816" max="12816" width="13.7109375" style="531" customWidth="1"/>
    <col min="12817" max="12817" width="7.28515625" style="531" customWidth="1"/>
    <col min="12818" max="12818" width="8.5703125" style="531" customWidth="1"/>
    <col min="12819" max="12820" width="12.42578125" style="531" customWidth="1"/>
    <col min="12821" max="12821" width="26.5703125" style="531" customWidth="1"/>
    <col min="12822" max="13056" width="12.42578125" style="531"/>
    <col min="13057" max="13057" width="9.85546875" style="531" customWidth="1"/>
    <col min="13058" max="13058" width="10.7109375" style="531" customWidth="1"/>
    <col min="13059" max="13059" width="5.5703125" style="531" customWidth="1"/>
    <col min="13060" max="13060" width="10.28515625" style="531" customWidth="1"/>
    <col min="13061" max="13061" width="8.5703125" style="531" customWidth="1"/>
    <col min="13062" max="13062" width="3.42578125" style="531" customWidth="1"/>
    <col min="13063" max="13063" width="9" style="531" customWidth="1"/>
    <col min="13064" max="13064" width="8.5703125" style="531" customWidth="1"/>
    <col min="13065" max="13065" width="8.7109375" style="531" customWidth="1"/>
    <col min="13066" max="13066" width="9.85546875" style="531" customWidth="1"/>
    <col min="13067" max="13067" width="6.85546875" style="531" customWidth="1"/>
    <col min="13068" max="13068" width="11.5703125" style="531" customWidth="1"/>
    <col min="13069" max="13069" width="9.85546875" style="531" customWidth="1"/>
    <col min="13070" max="13070" width="3.42578125" style="531" customWidth="1"/>
    <col min="13071" max="13071" width="10.28515625" style="531" customWidth="1"/>
    <col min="13072" max="13072" width="13.7109375" style="531" customWidth="1"/>
    <col min="13073" max="13073" width="7.28515625" style="531" customWidth="1"/>
    <col min="13074" max="13074" width="8.5703125" style="531" customWidth="1"/>
    <col min="13075" max="13076" width="12.42578125" style="531" customWidth="1"/>
    <col min="13077" max="13077" width="26.5703125" style="531" customWidth="1"/>
    <col min="13078" max="13312" width="12.42578125" style="531"/>
    <col min="13313" max="13313" width="9.85546875" style="531" customWidth="1"/>
    <col min="13314" max="13314" width="10.7109375" style="531" customWidth="1"/>
    <col min="13315" max="13315" width="5.5703125" style="531" customWidth="1"/>
    <col min="13316" max="13316" width="10.28515625" style="531" customWidth="1"/>
    <col min="13317" max="13317" width="8.5703125" style="531" customWidth="1"/>
    <col min="13318" max="13318" width="3.42578125" style="531" customWidth="1"/>
    <col min="13319" max="13319" width="9" style="531" customWidth="1"/>
    <col min="13320" max="13320" width="8.5703125" style="531" customWidth="1"/>
    <col min="13321" max="13321" width="8.7109375" style="531" customWidth="1"/>
    <col min="13322" max="13322" width="9.85546875" style="531" customWidth="1"/>
    <col min="13323" max="13323" width="6.85546875" style="531" customWidth="1"/>
    <col min="13324" max="13324" width="11.5703125" style="531" customWidth="1"/>
    <col min="13325" max="13325" width="9.85546875" style="531" customWidth="1"/>
    <col min="13326" max="13326" width="3.42578125" style="531" customWidth="1"/>
    <col min="13327" max="13327" width="10.28515625" style="531" customWidth="1"/>
    <col min="13328" max="13328" width="13.7109375" style="531" customWidth="1"/>
    <col min="13329" max="13329" width="7.28515625" style="531" customWidth="1"/>
    <col min="13330" max="13330" width="8.5703125" style="531" customWidth="1"/>
    <col min="13331" max="13332" width="12.42578125" style="531" customWidth="1"/>
    <col min="13333" max="13333" width="26.5703125" style="531" customWidth="1"/>
    <col min="13334" max="13568" width="12.42578125" style="531"/>
    <col min="13569" max="13569" width="9.85546875" style="531" customWidth="1"/>
    <col min="13570" max="13570" width="10.7109375" style="531" customWidth="1"/>
    <col min="13571" max="13571" width="5.5703125" style="531" customWidth="1"/>
    <col min="13572" max="13572" width="10.28515625" style="531" customWidth="1"/>
    <col min="13573" max="13573" width="8.5703125" style="531" customWidth="1"/>
    <col min="13574" max="13574" width="3.42578125" style="531" customWidth="1"/>
    <col min="13575" max="13575" width="9" style="531" customWidth="1"/>
    <col min="13576" max="13576" width="8.5703125" style="531" customWidth="1"/>
    <col min="13577" max="13577" width="8.7109375" style="531" customWidth="1"/>
    <col min="13578" max="13578" width="9.85546875" style="531" customWidth="1"/>
    <col min="13579" max="13579" width="6.85546875" style="531" customWidth="1"/>
    <col min="13580" max="13580" width="11.5703125" style="531" customWidth="1"/>
    <col min="13581" max="13581" width="9.85546875" style="531" customWidth="1"/>
    <col min="13582" max="13582" width="3.42578125" style="531" customWidth="1"/>
    <col min="13583" max="13583" width="10.28515625" style="531" customWidth="1"/>
    <col min="13584" max="13584" width="13.7109375" style="531" customWidth="1"/>
    <col min="13585" max="13585" width="7.28515625" style="531" customWidth="1"/>
    <col min="13586" max="13586" width="8.5703125" style="531" customWidth="1"/>
    <col min="13587" max="13588" width="12.42578125" style="531" customWidth="1"/>
    <col min="13589" max="13589" width="26.5703125" style="531" customWidth="1"/>
    <col min="13590" max="13824" width="12.42578125" style="531"/>
    <col min="13825" max="13825" width="9.85546875" style="531" customWidth="1"/>
    <col min="13826" max="13826" width="10.7109375" style="531" customWidth="1"/>
    <col min="13827" max="13827" width="5.5703125" style="531" customWidth="1"/>
    <col min="13828" max="13828" width="10.28515625" style="531" customWidth="1"/>
    <col min="13829" max="13829" width="8.5703125" style="531" customWidth="1"/>
    <col min="13830" max="13830" width="3.42578125" style="531" customWidth="1"/>
    <col min="13831" max="13831" width="9" style="531" customWidth="1"/>
    <col min="13832" max="13832" width="8.5703125" style="531" customWidth="1"/>
    <col min="13833" max="13833" width="8.7109375" style="531" customWidth="1"/>
    <col min="13834" max="13834" width="9.85546875" style="531" customWidth="1"/>
    <col min="13835" max="13835" width="6.85546875" style="531" customWidth="1"/>
    <col min="13836" max="13836" width="11.5703125" style="531" customWidth="1"/>
    <col min="13837" max="13837" width="9.85546875" style="531" customWidth="1"/>
    <col min="13838" max="13838" width="3.42578125" style="531" customWidth="1"/>
    <col min="13839" max="13839" width="10.28515625" style="531" customWidth="1"/>
    <col min="13840" max="13840" width="13.7109375" style="531" customWidth="1"/>
    <col min="13841" max="13841" width="7.28515625" style="531" customWidth="1"/>
    <col min="13842" max="13842" width="8.5703125" style="531" customWidth="1"/>
    <col min="13843" max="13844" width="12.42578125" style="531" customWidth="1"/>
    <col min="13845" max="13845" width="26.5703125" style="531" customWidth="1"/>
    <col min="13846" max="14080" width="12.42578125" style="531"/>
    <col min="14081" max="14081" width="9.85546875" style="531" customWidth="1"/>
    <col min="14082" max="14082" width="10.7109375" style="531" customWidth="1"/>
    <col min="14083" max="14083" width="5.5703125" style="531" customWidth="1"/>
    <col min="14084" max="14084" width="10.28515625" style="531" customWidth="1"/>
    <col min="14085" max="14085" width="8.5703125" style="531" customWidth="1"/>
    <col min="14086" max="14086" width="3.42578125" style="531" customWidth="1"/>
    <col min="14087" max="14087" width="9" style="531" customWidth="1"/>
    <col min="14088" max="14088" width="8.5703125" style="531" customWidth="1"/>
    <col min="14089" max="14089" width="8.7109375" style="531" customWidth="1"/>
    <col min="14090" max="14090" width="9.85546875" style="531" customWidth="1"/>
    <col min="14091" max="14091" width="6.85546875" style="531" customWidth="1"/>
    <col min="14092" max="14092" width="11.5703125" style="531" customWidth="1"/>
    <col min="14093" max="14093" width="9.85546875" style="531" customWidth="1"/>
    <col min="14094" max="14094" width="3.42578125" style="531" customWidth="1"/>
    <col min="14095" max="14095" width="10.28515625" style="531" customWidth="1"/>
    <col min="14096" max="14096" width="13.7109375" style="531" customWidth="1"/>
    <col min="14097" max="14097" width="7.28515625" style="531" customWidth="1"/>
    <col min="14098" max="14098" width="8.5703125" style="531" customWidth="1"/>
    <col min="14099" max="14100" width="12.42578125" style="531" customWidth="1"/>
    <col min="14101" max="14101" width="26.5703125" style="531" customWidth="1"/>
    <col min="14102" max="14336" width="12.42578125" style="531"/>
    <col min="14337" max="14337" width="9.85546875" style="531" customWidth="1"/>
    <col min="14338" max="14338" width="10.7109375" style="531" customWidth="1"/>
    <col min="14339" max="14339" width="5.5703125" style="531" customWidth="1"/>
    <col min="14340" max="14340" width="10.28515625" style="531" customWidth="1"/>
    <col min="14341" max="14341" width="8.5703125" style="531" customWidth="1"/>
    <col min="14342" max="14342" width="3.42578125" style="531" customWidth="1"/>
    <col min="14343" max="14343" width="9" style="531" customWidth="1"/>
    <col min="14344" max="14344" width="8.5703125" style="531" customWidth="1"/>
    <col min="14345" max="14345" width="8.7109375" style="531" customWidth="1"/>
    <col min="14346" max="14346" width="9.85546875" style="531" customWidth="1"/>
    <col min="14347" max="14347" width="6.85546875" style="531" customWidth="1"/>
    <col min="14348" max="14348" width="11.5703125" style="531" customWidth="1"/>
    <col min="14349" max="14349" width="9.85546875" style="531" customWidth="1"/>
    <col min="14350" max="14350" width="3.42578125" style="531" customWidth="1"/>
    <col min="14351" max="14351" width="10.28515625" style="531" customWidth="1"/>
    <col min="14352" max="14352" width="13.7109375" style="531" customWidth="1"/>
    <col min="14353" max="14353" width="7.28515625" style="531" customWidth="1"/>
    <col min="14354" max="14354" width="8.5703125" style="531" customWidth="1"/>
    <col min="14355" max="14356" width="12.42578125" style="531" customWidth="1"/>
    <col min="14357" max="14357" width="26.5703125" style="531" customWidth="1"/>
    <col min="14358" max="14592" width="12.42578125" style="531"/>
    <col min="14593" max="14593" width="9.85546875" style="531" customWidth="1"/>
    <col min="14594" max="14594" width="10.7109375" style="531" customWidth="1"/>
    <col min="14595" max="14595" width="5.5703125" style="531" customWidth="1"/>
    <col min="14596" max="14596" width="10.28515625" style="531" customWidth="1"/>
    <col min="14597" max="14597" width="8.5703125" style="531" customWidth="1"/>
    <col min="14598" max="14598" width="3.42578125" style="531" customWidth="1"/>
    <col min="14599" max="14599" width="9" style="531" customWidth="1"/>
    <col min="14600" max="14600" width="8.5703125" style="531" customWidth="1"/>
    <col min="14601" max="14601" width="8.7109375" style="531" customWidth="1"/>
    <col min="14602" max="14602" width="9.85546875" style="531" customWidth="1"/>
    <col min="14603" max="14603" width="6.85546875" style="531" customWidth="1"/>
    <col min="14604" max="14604" width="11.5703125" style="531" customWidth="1"/>
    <col min="14605" max="14605" width="9.85546875" style="531" customWidth="1"/>
    <col min="14606" max="14606" width="3.42578125" style="531" customWidth="1"/>
    <col min="14607" max="14607" width="10.28515625" style="531" customWidth="1"/>
    <col min="14608" max="14608" width="13.7109375" style="531" customWidth="1"/>
    <col min="14609" max="14609" width="7.28515625" style="531" customWidth="1"/>
    <col min="14610" max="14610" width="8.5703125" style="531" customWidth="1"/>
    <col min="14611" max="14612" width="12.42578125" style="531" customWidth="1"/>
    <col min="14613" max="14613" width="26.5703125" style="531" customWidth="1"/>
    <col min="14614" max="14848" width="12.42578125" style="531"/>
    <col min="14849" max="14849" width="9.85546875" style="531" customWidth="1"/>
    <col min="14850" max="14850" width="10.7109375" style="531" customWidth="1"/>
    <col min="14851" max="14851" width="5.5703125" style="531" customWidth="1"/>
    <col min="14852" max="14852" width="10.28515625" style="531" customWidth="1"/>
    <col min="14853" max="14853" width="8.5703125" style="531" customWidth="1"/>
    <col min="14854" max="14854" width="3.42578125" style="531" customWidth="1"/>
    <col min="14855" max="14855" width="9" style="531" customWidth="1"/>
    <col min="14856" max="14856" width="8.5703125" style="531" customWidth="1"/>
    <col min="14857" max="14857" width="8.7109375" style="531" customWidth="1"/>
    <col min="14858" max="14858" width="9.85546875" style="531" customWidth="1"/>
    <col min="14859" max="14859" width="6.85546875" style="531" customWidth="1"/>
    <col min="14860" max="14860" width="11.5703125" style="531" customWidth="1"/>
    <col min="14861" max="14861" width="9.85546875" style="531" customWidth="1"/>
    <col min="14862" max="14862" width="3.42578125" style="531" customWidth="1"/>
    <col min="14863" max="14863" width="10.28515625" style="531" customWidth="1"/>
    <col min="14864" max="14864" width="13.7109375" style="531" customWidth="1"/>
    <col min="14865" max="14865" width="7.28515625" style="531" customWidth="1"/>
    <col min="14866" max="14866" width="8.5703125" style="531" customWidth="1"/>
    <col min="14867" max="14868" width="12.42578125" style="531" customWidth="1"/>
    <col min="14869" max="14869" width="26.5703125" style="531" customWidth="1"/>
    <col min="14870" max="15104" width="12.42578125" style="531"/>
    <col min="15105" max="15105" width="9.85546875" style="531" customWidth="1"/>
    <col min="15106" max="15106" width="10.7109375" style="531" customWidth="1"/>
    <col min="15107" max="15107" width="5.5703125" style="531" customWidth="1"/>
    <col min="15108" max="15108" width="10.28515625" style="531" customWidth="1"/>
    <col min="15109" max="15109" width="8.5703125" style="531" customWidth="1"/>
    <col min="15110" max="15110" width="3.42578125" style="531" customWidth="1"/>
    <col min="15111" max="15111" width="9" style="531" customWidth="1"/>
    <col min="15112" max="15112" width="8.5703125" style="531" customWidth="1"/>
    <col min="15113" max="15113" width="8.7109375" style="531" customWidth="1"/>
    <col min="15114" max="15114" width="9.85546875" style="531" customWidth="1"/>
    <col min="15115" max="15115" width="6.85546875" style="531" customWidth="1"/>
    <col min="15116" max="15116" width="11.5703125" style="531" customWidth="1"/>
    <col min="15117" max="15117" width="9.85546875" style="531" customWidth="1"/>
    <col min="15118" max="15118" width="3.42578125" style="531" customWidth="1"/>
    <col min="15119" max="15119" width="10.28515625" style="531" customWidth="1"/>
    <col min="15120" max="15120" width="13.7109375" style="531" customWidth="1"/>
    <col min="15121" max="15121" width="7.28515625" style="531" customWidth="1"/>
    <col min="15122" max="15122" width="8.5703125" style="531" customWidth="1"/>
    <col min="15123" max="15124" width="12.42578125" style="531" customWidth="1"/>
    <col min="15125" max="15125" width="26.5703125" style="531" customWidth="1"/>
    <col min="15126" max="15360" width="12.42578125" style="531"/>
    <col min="15361" max="15361" width="9.85546875" style="531" customWidth="1"/>
    <col min="15362" max="15362" width="10.7109375" style="531" customWidth="1"/>
    <col min="15363" max="15363" width="5.5703125" style="531" customWidth="1"/>
    <col min="15364" max="15364" width="10.28515625" style="531" customWidth="1"/>
    <col min="15365" max="15365" width="8.5703125" style="531" customWidth="1"/>
    <col min="15366" max="15366" width="3.42578125" style="531" customWidth="1"/>
    <col min="15367" max="15367" width="9" style="531" customWidth="1"/>
    <col min="15368" max="15368" width="8.5703125" style="531" customWidth="1"/>
    <col min="15369" max="15369" width="8.7109375" style="531" customWidth="1"/>
    <col min="15370" max="15370" width="9.85546875" style="531" customWidth="1"/>
    <col min="15371" max="15371" width="6.85546875" style="531" customWidth="1"/>
    <col min="15372" max="15372" width="11.5703125" style="531" customWidth="1"/>
    <col min="15373" max="15373" width="9.85546875" style="531" customWidth="1"/>
    <col min="15374" max="15374" width="3.42578125" style="531" customWidth="1"/>
    <col min="15375" max="15375" width="10.28515625" style="531" customWidth="1"/>
    <col min="15376" max="15376" width="13.7109375" style="531" customWidth="1"/>
    <col min="15377" max="15377" width="7.28515625" style="531" customWidth="1"/>
    <col min="15378" max="15378" width="8.5703125" style="531" customWidth="1"/>
    <col min="15379" max="15380" width="12.42578125" style="531" customWidth="1"/>
    <col min="15381" max="15381" width="26.5703125" style="531" customWidth="1"/>
    <col min="15382" max="15616" width="12.42578125" style="531"/>
    <col min="15617" max="15617" width="9.85546875" style="531" customWidth="1"/>
    <col min="15618" max="15618" width="10.7109375" style="531" customWidth="1"/>
    <col min="15619" max="15619" width="5.5703125" style="531" customWidth="1"/>
    <col min="15620" max="15620" width="10.28515625" style="531" customWidth="1"/>
    <col min="15621" max="15621" width="8.5703125" style="531" customWidth="1"/>
    <col min="15622" max="15622" width="3.42578125" style="531" customWidth="1"/>
    <col min="15623" max="15623" width="9" style="531" customWidth="1"/>
    <col min="15624" max="15624" width="8.5703125" style="531" customWidth="1"/>
    <col min="15625" max="15625" width="8.7109375" style="531" customWidth="1"/>
    <col min="15626" max="15626" width="9.85546875" style="531" customWidth="1"/>
    <col min="15627" max="15627" width="6.85546875" style="531" customWidth="1"/>
    <col min="15628" max="15628" width="11.5703125" style="531" customWidth="1"/>
    <col min="15629" max="15629" width="9.85546875" style="531" customWidth="1"/>
    <col min="15630" max="15630" width="3.42578125" style="531" customWidth="1"/>
    <col min="15631" max="15631" width="10.28515625" style="531" customWidth="1"/>
    <col min="15632" max="15632" width="13.7109375" style="531" customWidth="1"/>
    <col min="15633" max="15633" width="7.28515625" style="531" customWidth="1"/>
    <col min="15634" max="15634" width="8.5703125" style="531" customWidth="1"/>
    <col min="15635" max="15636" width="12.42578125" style="531" customWidth="1"/>
    <col min="15637" max="15637" width="26.5703125" style="531" customWidth="1"/>
    <col min="15638" max="15872" width="12.42578125" style="531"/>
    <col min="15873" max="15873" width="9.85546875" style="531" customWidth="1"/>
    <col min="15874" max="15874" width="10.7109375" style="531" customWidth="1"/>
    <col min="15875" max="15875" width="5.5703125" style="531" customWidth="1"/>
    <col min="15876" max="15876" width="10.28515625" style="531" customWidth="1"/>
    <col min="15877" max="15877" width="8.5703125" style="531" customWidth="1"/>
    <col min="15878" max="15878" width="3.42578125" style="531" customWidth="1"/>
    <col min="15879" max="15879" width="9" style="531" customWidth="1"/>
    <col min="15880" max="15880" width="8.5703125" style="531" customWidth="1"/>
    <col min="15881" max="15881" width="8.7109375" style="531" customWidth="1"/>
    <col min="15882" max="15882" width="9.85546875" style="531" customWidth="1"/>
    <col min="15883" max="15883" width="6.85546875" style="531" customWidth="1"/>
    <col min="15884" max="15884" width="11.5703125" style="531" customWidth="1"/>
    <col min="15885" max="15885" width="9.85546875" style="531" customWidth="1"/>
    <col min="15886" max="15886" width="3.42578125" style="531" customWidth="1"/>
    <col min="15887" max="15887" width="10.28515625" style="531" customWidth="1"/>
    <col min="15888" max="15888" width="13.7109375" style="531" customWidth="1"/>
    <col min="15889" max="15889" width="7.28515625" style="531" customWidth="1"/>
    <col min="15890" max="15890" width="8.5703125" style="531" customWidth="1"/>
    <col min="15891" max="15892" width="12.42578125" style="531" customWidth="1"/>
    <col min="15893" max="15893" width="26.5703125" style="531" customWidth="1"/>
    <col min="15894" max="16128" width="12.42578125" style="531"/>
    <col min="16129" max="16129" width="9.85546875" style="531" customWidth="1"/>
    <col min="16130" max="16130" width="10.7109375" style="531" customWidth="1"/>
    <col min="16131" max="16131" width="5.5703125" style="531" customWidth="1"/>
    <col min="16132" max="16132" width="10.28515625" style="531" customWidth="1"/>
    <col min="16133" max="16133" width="8.5703125" style="531" customWidth="1"/>
    <col min="16134" max="16134" width="3.42578125" style="531" customWidth="1"/>
    <col min="16135" max="16135" width="9" style="531" customWidth="1"/>
    <col min="16136" max="16136" width="8.5703125" style="531" customWidth="1"/>
    <col min="16137" max="16137" width="8.7109375" style="531" customWidth="1"/>
    <col min="16138" max="16138" width="9.85546875" style="531" customWidth="1"/>
    <col min="16139" max="16139" width="6.85546875" style="531" customWidth="1"/>
    <col min="16140" max="16140" width="11.5703125" style="531" customWidth="1"/>
    <col min="16141" max="16141" width="9.85546875" style="531" customWidth="1"/>
    <col min="16142" max="16142" width="3.42578125" style="531" customWidth="1"/>
    <col min="16143" max="16143" width="10.28515625" style="531" customWidth="1"/>
    <col min="16144" max="16144" width="13.7109375" style="531" customWidth="1"/>
    <col min="16145" max="16145" width="7.28515625" style="531" customWidth="1"/>
    <col min="16146" max="16146" width="8.5703125" style="531" customWidth="1"/>
    <col min="16147" max="16148" width="12.42578125" style="531" customWidth="1"/>
    <col min="16149" max="16149" width="26.5703125" style="531" customWidth="1"/>
    <col min="16150" max="16384" width="12.42578125" style="531"/>
  </cols>
  <sheetData>
    <row r="1" spans="1:254" ht="15" customHeight="1" x14ac:dyDescent="0.25">
      <c r="A1" s="524" t="s">
        <v>1932</v>
      </c>
      <c r="B1" s="525"/>
      <c r="C1" s="525"/>
      <c r="D1" s="526"/>
      <c r="E1" s="525"/>
      <c r="F1" s="525"/>
      <c r="G1" s="525"/>
      <c r="H1" s="527"/>
      <c r="I1" s="528"/>
      <c r="J1" s="525"/>
      <c r="K1" s="525"/>
      <c r="L1" s="526"/>
      <c r="M1" s="525"/>
      <c r="N1" s="529"/>
      <c r="O1" s="525"/>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530"/>
      <c r="DK1" s="530"/>
      <c r="DL1" s="530"/>
      <c r="DM1" s="530"/>
      <c r="DN1" s="530"/>
      <c r="DO1" s="530"/>
      <c r="DP1" s="530"/>
      <c r="DQ1" s="530"/>
      <c r="DR1" s="530"/>
      <c r="DS1" s="530"/>
      <c r="DT1" s="530"/>
      <c r="DU1" s="530"/>
      <c r="DV1" s="530"/>
      <c r="DW1" s="530"/>
      <c r="DX1" s="530"/>
      <c r="DY1" s="530"/>
      <c r="DZ1" s="530"/>
      <c r="EA1" s="530"/>
      <c r="EB1" s="530"/>
      <c r="EC1" s="530"/>
      <c r="ED1" s="530"/>
      <c r="EE1" s="530"/>
      <c r="EF1" s="530"/>
      <c r="EG1" s="530"/>
      <c r="EH1" s="530"/>
      <c r="EI1" s="530"/>
      <c r="EJ1" s="530"/>
      <c r="EK1" s="530"/>
      <c r="EL1" s="530"/>
      <c r="EM1" s="530"/>
      <c r="EN1" s="530"/>
      <c r="EO1" s="530"/>
      <c r="EP1" s="530"/>
      <c r="EQ1" s="530"/>
      <c r="ER1" s="530"/>
      <c r="ES1" s="530"/>
      <c r="ET1" s="530"/>
      <c r="EU1" s="530"/>
      <c r="EV1" s="530"/>
      <c r="EW1" s="530"/>
      <c r="EX1" s="530"/>
      <c r="EY1" s="530"/>
      <c r="EZ1" s="530"/>
      <c r="FA1" s="530"/>
      <c r="FB1" s="530"/>
      <c r="FC1" s="530"/>
      <c r="FD1" s="530"/>
      <c r="FE1" s="530"/>
      <c r="FF1" s="530"/>
      <c r="FG1" s="530"/>
      <c r="FH1" s="530"/>
      <c r="FI1" s="530"/>
      <c r="FJ1" s="530"/>
      <c r="FK1" s="530"/>
      <c r="FL1" s="530"/>
      <c r="FM1" s="530"/>
      <c r="FN1" s="530"/>
      <c r="FO1" s="530"/>
      <c r="FP1" s="530"/>
      <c r="FQ1" s="530"/>
      <c r="FR1" s="530"/>
      <c r="FS1" s="530"/>
      <c r="FT1" s="530"/>
      <c r="FU1" s="530"/>
      <c r="FV1" s="530"/>
      <c r="FW1" s="530"/>
      <c r="FX1" s="530"/>
      <c r="FY1" s="530"/>
      <c r="FZ1" s="530"/>
      <c r="GA1" s="530"/>
      <c r="GB1" s="530"/>
      <c r="GC1" s="530"/>
      <c r="GD1" s="530"/>
      <c r="GE1" s="530"/>
      <c r="GF1" s="530"/>
      <c r="GG1" s="530"/>
      <c r="GH1" s="530"/>
      <c r="GI1" s="530"/>
      <c r="GJ1" s="530"/>
      <c r="GK1" s="530"/>
      <c r="GL1" s="530"/>
      <c r="GM1" s="530"/>
      <c r="GN1" s="530"/>
      <c r="GO1" s="530"/>
      <c r="GP1" s="530"/>
      <c r="GQ1" s="530"/>
      <c r="GR1" s="530"/>
      <c r="GS1" s="530"/>
      <c r="GT1" s="530"/>
      <c r="GU1" s="530"/>
      <c r="GV1" s="530"/>
      <c r="GW1" s="530"/>
      <c r="GX1" s="530"/>
      <c r="GY1" s="530"/>
      <c r="GZ1" s="530"/>
      <c r="HA1" s="530"/>
      <c r="HB1" s="530"/>
      <c r="HC1" s="530"/>
      <c r="HD1" s="530"/>
      <c r="HE1" s="530"/>
      <c r="HF1" s="530"/>
      <c r="HG1" s="530"/>
      <c r="HH1" s="530"/>
      <c r="HI1" s="530"/>
      <c r="HJ1" s="530"/>
      <c r="HK1" s="530"/>
      <c r="HL1" s="530"/>
      <c r="HM1" s="530"/>
      <c r="HN1" s="530"/>
      <c r="HO1" s="530"/>
      <c r="HP1" s="530"/>
      <c r="HQ1" s="530"/>
      <c r="HR1" s="530"/>
      <c r="HS1" s="530"/>
      <c r="HT1" s="530"/>
      <c r="HU1" s="530"/>
      <c r="HV1" s="530"/>
      <c r="HW1" s="530"/>
      <c r="HX1" s="530"/>
      <c r="HY1" s="530"/>
      <c r="HZ1" s="530"/>
      <c r="IA1" s="530"/>
      <c r="IB1" s="530"/>
      <c r="IC1" s="530"/>
      <c r="ID1" s="530"/>
      <c r="IE1" s="530"/>
      <c r="IF1" s="530"/>
      <c r="IG1" s="530"/>
      <c r="IH1" s="530"/>
      <c r="II1" s="530"/>
      <c r="IJ1" s="530"/>
      <c r="IK1" s="530"/>
      <c r="IL1" s="530"/>
      <c r="IM1" s="530"/>
      <c r="IN1" s="530"/>
      <c r="IO1" s="530"/>
      <c r="IP1" s="530"/>
      <c r="IQ1" s="530"/>
      <c r="IR1" s="530"/>
      <c r="IS1" s="530"/>
      <c r="IT1" s="530"/>
    </row>
    <row r="2" spans="1:254" ht="11.1" customHeight="1" thickBot="1" x14ac:dyDescent="0.25">
      <c r="A2" s="532" t="s">
        <v>1933</v>
      </c>
      <c r="B2" s="532"/>
      <c r="C2" s="532"/>
      <c r="D2" s="533"/>
      <c r="E2" s="532"/>
      <c r="F2" s="532"/>
      <c r="G2" s="532"/>
      <c r="H2" s="534"/>
      <c r="I2" s="534"/>
      <c r="J2" s="535"/>
      <c r="K2" s="536" t="s">
        <v>1934</v>
      </c>
      <c r="L2" s="537"/>
      <c r="M2" s="535"/>
      <c r="N2" s="535"/>
      <c r="O2" s="535"/>
      <c r="P2" s="538"/>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c r="BH2" s="530"/>
      <c r="BI2" s="530"/>
      <c r="BJ2" s="530"/>
      <c r="BK2" s="530"/>
      <c r="BL2" s="530"/>
      <c r="BM2" s="530"/>
      <c r="BN2" s="530"/>
      <c r="BO2" s="530"/>
      <c r="BP2" s="530"/>
      <c r="BQ2" s="530"/>
      <c r="BR2" s="530"/>
      <c r="BS2" s="530"/>
      <c r="BT2" s="530"/>
      <c r="BU2" s="530"/>
      <c r="BV2" s="530"/>
      <c r="BW2" s="530"/>
      <c r="BX2" s="530"/>
      <c r="BY2" s="530"/>
      <c r="BZ2" s="530"/>
      <c r="CA2" s="530"/>
      <c r="CB2" s="530"/>
      <c r="CC2" s="530"/>
      <c r="CD2" s="530"/>
      <c r="CE2" s="530"/>
      <c r="CF2" s="530"/>
      <c r="CG2" s="530"/>
      <c r="CH2" s="530"/>
      <c r="CI2" s="530"/>
      <c r="CJ2" s="530"/>
      <c r="CK2" s="530"/>
      <c r="CL2" s="530"/>
      <c r="CM2" s="530"/>
      <c r="CN2" s="530"/>
      <c r="CO2" s="530"/>
      <c r="CP2" s="530"/>
      <c r="CQ2" s="530"/>
      <c r="CR2" s="530"/>
      <c r="CS2" s="530"/>
      <c r="CT2" s="530"/>
      <c r="CU2" s="530"/>
      <c r="CV2" s="530"/>
      <c r="CW2" s="530"/>
      <c r="CX2" s="530"/>
      <c r="CY2" s="530"/>
      <c r="CZ2" s="530"/>
      <c r="DA2" s="530"/>
      <c r="DB2" s="530"/>
      <c r="DC2" s="530"/>
      <c r="DD2" s="530"/>
      <c r="DE2" s="530"/>
      <c r="DF2" s="530"/>
      <c r="DG2" s="530"/>
      <c r="DH2" s="530"/>
      <c r="DI2" s="530"/>
      <c r="DJ2" s="530"/>
      <c r="DK2" s="530"/>
      <c r="DL2" s="530"/>
      <c r="DM2" s="530"/>
      <c r="DN2" s="530"/>
      <c r="DO2" s="530"/>
      <c r="DP2" s="530"/>
      <c r="DQ2" s="530"/>
      <c r="DR2" s="530"/>
      <c r="DS2" s="530"/>
      <c r="DT2" s="530"/>
      <c r="DU2" s="530"/>
      <c r="DV2" s="530"/>
      <c r="DW2" s="530"/>
      <c r="DX2" s="530"/>
      <c r="DY2" s="530"/>
      <c r="DZ2" s="530"/>
      <c r="EA2" s="530"/>
      <c r="EB2" s="530"/>
      <c r="EC2" s="530"/>
      <c r="ED2" s="530"/>
      <c r="EE2" s="530"/>
      <c r="EF2" s="530"/>
      <c r="EG2" s="530"/>
      <c r="EH2" s="530"/>
      <c r="EI2" s="530"/>
      <c r="EJ2" s="530"/>
      <c r="EK2" s="530"/>
      <c r="EL2" s="530"/>
      <c r="EM2" s="530"/>
      <c r="EN2" s="530"/>
      <c r="EO2" s="530"/>
      <c r="EP2" s="530"/>
      <c r="EQ2" s="530"/>
      <c r="ER2" s="530"/>
      <c r="ES2" s="530"/>
      <c r="ET2" s="530"/>
      <c r="EU2" s="530"/>
      <c r="EV2" s="530"/>
      <c r="EW2" s="530"/>
      <c r="EX2" s="530"/>
      <c r="EY2" s="530"/>
      <c r="EZ2" s="530"/>
      <c r="FA2" s="530"/>
      <c r="FB2" s="530"/>
      <c r="FC2" s="530"/>
      <c r="FD2" s="530"/>
      <c r="FE2" s="530"/>
      <c r="FF2" s="530"/>
      <c r="FG2" s="530"/>
      <c r="FH2" s="530"/>
      <c r="FI2" s="530"/>
      <c r="FJ2" s="530"/>
      <c r="FK2" s="530"/>
      <c r="FL2" s="530"/>
      <c r="FM2" s="530"/>
      <c r="FN2" s="530"/>
      <c r="FO2" s="530"/>
      <c r="FP2" s="530"/>
      <c r="FQ2" s="530"/>
      <c r="FR2" s="530"/>
      <c r="FS2" s="530"/>
      <c r="FT2" s="530"/>
      <c r="FU2" s="530"/>
      <c r="FV2" s="530"/>
      <c r="FW2" s="530"/>
      <c r="FX2" s="530"/>
      <c r="FY2" s="530"/>
      <c r="FZ2" s="530"/>
      <c r="GA2" s="530"/>
      <c r="GB2" s="530"/>
      <c r="GC2" s="530"/>
      <c r="GD2" s="530"/>
      <c r="GE2" s="530"/>
      <c r="GF2" s="530"/>
      <c r="GG2" s="530"/>
      <c r="GH2" s="530"/>
      <c r="GI2" s="530"/>
      <c r="GJ2" s="530"/>
      <c r="GK2" s="530"/>
      <c r="GL2" s="530"/>
      <c r="GM2" s="530"/>
      <c r="GN2" s="530"/>
      <c r="GO2" s="530"/>
      <c r="GP2" s="530"/>
      <c r="GQ2" s="530"/>
      <c r="GR2" s="530"/>
      <c r="GS2" s="530"/>
      <c r="GT2" s="530"/>
      <c r="GU2" s="530"/>
      <c r="GV2" s="530"/>
      <c r="GW2" s="530"/>
      <c r="GX2" s="530"/>
      <c r="GY2" s="530"/>
      <c r="GZ2" s="530"/>
      <c r="HA2" s="530"/>
      <c r="HB2" s="530"/>
      <c r="HC2" s="530"/>
      <c r="HD2" s="530"/>
      <c r="HE2" s="530"/>
      <c r="HF2" s="530"/>
      <c r="HG2" s="530"/>
      <c r="HH2" s="530"/>
      <c r="HI2" s="530"/>
      <c r="HJ2" s="530"/>
      <c r="HK2" s="530"/>
      <c r="HL2" s="530"/>
      <c r="HM2" s="530"/>
      <c r="HN2" s="530"/>
      <c r="HO2" s="530"/>
      <c r="HP2" s="530"/>
      <c r="HQ2" s="530"/>
      <c r="HR2" s="530"/>
      <c r="HS2" s="530"/>
      <c r="HT2" s="530"/>
      <c r="HU2" s="530"/>
      <c r="HV2" s="530"/>
      <c r="HW2" s="530"/>
      <c r="HX2" s="530"/>
      <c r="HY2" s="530"/>
      <c r="HZ2" s="530"/>
      <c r="IA2" s="530"/>
      <c r="IB2" s="530"/>
      <c r="IC2" s="530"/>
      <c r="ID2" s="530"/>
      <c r="IE2" s="530"/>
      <c r="IF2" s="530"/>
      <c r="IG2" s="530"/>
      <c r="IH2" s="530"/>
      <c r="II2" s="530"/>
      <c r="IJ2" s="530"/>
      <c r="IK2" s="530"/>
      <c r="IL2" s="530"/>
      <c r="IM2" s="530"/>
      <c r="IN2" s="530"/>
      <c r="IO2" s="530"/>
      <c r="IP2" s="530"/>
      <c r="IQ2" s="530"/>
      <c r="IR2" s="530"/>
      <c r="IS2" s="530"/>
      <c r="IT2" s="530"/>
    </row>
    <row r="3" spans="1:254" ht="11.1" customHeight="1" thickBot="1" x14ac:dyDescent="0.25">
      <c r="A3" s="539" t="s">
        <v>1935</v>
      </c>
      <c r="B3" s="539" t="s">
        <v>1936</v>
      </c>
      <c r="C3" s="540"/>
      <c r="D3" s="541"/>
      <c r="E3" s="542" t="s">
        <v>1937</v>
      </c>
      <c r="F3" s="542"/>
      <c r="G3" s="542"/>
      <c r="H3" s="539" t="s">
        <v>1938</v>
      </c>
      <c r="I3" s="539" t="s">
        <v>1935</v>
      </c>
      <c r="J3" s="539" t="s">
        <v>1939</v>
      </c>
      <c r="K3" s="540"/>
      <c r="L3" s="541"/>
      <c r="M3" s="542" t="s">
        <v>1940</v>
      </c>
      <c r="N3" s="542"/>
      <c r="O3" s="542"/>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c r="CB3" s="530"/>
      <c r="CC3" s="530"/>
      <c r="CD3" s="530"/>
      <c r="CE3" s="530"/>
      <c r="CF3" s="530"/>
      <c r="CG3" s="530"/>
      <c r="CH3" s="530"/>
      <c r="CI3" s="530"/>
      <c r="CJ3" s="530"/>
      <c r="CK3" s="530"/>
      <c r="CL3" s="530"/>
      <c r="CM3" s="530"/>
      <c r="CN3" s="530"/>
      <c r="CO3" s="530"/>
      <c r="CP3" s="530"/>
      <c r="CQ3" s="530"/>
      <c r="CR3" s="530"/>
      <c r="CS3" s="530"/>
      <c r="CT3" s="530"/>
      <c r="CU3" s="530"/>
      <c r="CV3" s="530"/>
      <c r="CW3" s="530"/>
      <c r="CX3" s="530"/>
      <c r="CY3" s="530"/>
      <c r="CZ3" s="530"/>
      <c r="DA3" s="530"/>
      <c r="DB3" s="530"/>
      <c r="DC3" s="530"/>
      <c r="DD3" s="530"/>
      <c r="DE3" s="530"/>
      <c r="DF3" s="530"/>
      <c r="DG3" s="530"/>
      <c r="DH3" s="530"/>
      <c r="DI3" s="530"/>
      <c r="DJ3" s="530"/>
      <c r="DK3" s="530"/>
      <c r="DL3" s="530"/>
      <c r="DM3" s="530"/>
      <c r="DN3" s="530"/>
      <c r="DO3" s="530"/>
      <c r="DP3" s="530"/>
      <c r="DQ3" s="530"/>
      <c r="DR3" s="530"/>
      <c r="DS3" s="530"/>
      <c r="DT3" s="530"/>
      <c r="DU3" s="530"/>
      <c r="DV3" s="530"/>
      <c r="DW3" s="530"/>
      <c r="DX3" s="530"/>
      <c r="DY3" s="530"/>
      <c r="DZ3" s="530"/>
      <c r="EA3" s="530"/>
      <c r="EB3" s="530"/>
      <c r="EC3" s="530"/>
      <c r="ED3" s="530"/>
      <c r="EE3" s="530"/>
      <c r="EF3" s="530"/>
      <c r="EG3" s="530"/>
      <c r="EH3" s="530"/>
      <c r="EI3" s="530"/>
      <c r="EJ3" s="530"/>
      <c r="EK3" s="530"/>
      <c r="EL3" s="530"/>
      <c r="EM3" s="530"/>
      <c r="EN3" s="530"/>
      <c r="EO3" s="530"/>
      <c r="EP3" s="530"/>
      <c r="EQ3" s="530"/>
      <c r="ER3" s="530"/>
      <c r="ES3" s="530"/>
      <c r="ET3" s="530"/>
      <c r="EU3" s="530"/>
      <c r="EV3" s="530"/>
      <c r="EW3" s="530"/>
      <c r="EX3" s="530"/>
      <c r="EY3" s="530"/>
      <c r="EZ3" s="530"/>
      <c r="FA3" s="530"/>
      <c r="FB3" s="530"/>
      <c r="FC3" s="530"/>
      <c r="FD3" s="530"/>
      <c r="FE3" s="530"/>
      <c r="FF3" s="530"/>
      <c r="FG3" s="530"/>
      <c r="FH3" s="530"/>
      <c r="FI3" s="530"/>
      <c r="FJ3" s="530"/>
      <c r="FK3" s="530"/>
      <c r="FL3" s="530"/>
      <c r="FM3" s="530"/>
      <c r="FN3" s="530"/>
      <c r="FO3" s="530"/>
      <c r="FP3" s="530"/>
      <c r="FQ3" s="530"/>
      <c r="FR3" s="530"/>
      <c r="FS3" s="530"/>
      <c r="FT3" s="530"/>
      <c r="FU3" s="530"/>
      <c r="FV3" s="530"/>
      <c r="FW3" s="530"/>
      <c r="FX3" s="530"/>
      <c r="FY3" s="530"/>
      <c r="FZ3" s="530"/>
      <c r="GA3" s="530"/>
      <c r="GB3" s="530"/>
      <c r="GC3" s="530"/>
      <c r="GD3" s="530"/>
      <c r="GE3" s="530"/>
      <c r="GF3" s="530"/>
      <c r="GG3" s="530"/>
      <c r="GH3" s="530"/>
      <c r="GI3" s="530"/>
      <c r="GJ3" s="530"/>
      <c r="GK3" s="530"/>
      <c r="GL3" s="530"/>
      <c r="GM3" s="530"/>
      <c r="GN3" s="530"/>
      <c r="GO3" s="530"/>
      <c r="GP3" s="530"/>
      <c r="GQ3" s="530"/>
      <c r="GR3" s="530"/>
      <c r="GS3" s="530"/>
      <c r="GT3" s="530"/>
      <c r="GU3" s="530"/>
      <c r="GV3" s="530"/>
      <c r="GW3" s="530"/>
      <c r="GX3" s="530"/>
      <c r="GY3" s="530"/>
      <c r="GZ3" s="530"/>
      <c r="HA3" s="530"/>
      <c r="HB3" s="530"/>
      <c r="HC3" s="530"/>
      <c r="HD3" s="530"/>
      <c r="HE3" s="530"/>
      <c r="HF3" s="530"/>
      <c r="HG3" s="530"/>
      <c r="HH3" s="530"/>
      <c r="HI3" s="530"/>
      <c r="HJ3" s="530"/>
      <c r="HK3" s="530"/>
      <c r="HL3" s="530"/>
      <c r="HM3" s="530"/>
      <c r="HN3" s="530"/>
      <c r="HO3" s="530"/>
      <c r="HP3" s="530"/>
      <c r="HQ3" s="530"/>
      <c r="HR3" s="530"/>
      <c r="HS3" s="530"/>
      <c r="HT3" s="530"/>
      <c r="HU3" s="530"/>
      <c r="HV3" s="530"/>
      <c r="HW3" s="530"/>
      <c r="HX3" s="530"/>
      <c r="HY3" s="530"/>
      <c r="HZ3" s="530"/>
      <c r="IA3" s="530"/>
      <c r="IB3" s="530"/>
      <c r="IC3" s="530"/>
      <c r="ID3" s="530"/>
      <c r="IE3" s="530"/>
      <c r="IF3" s="530"/>
      <c r="IG3" s="530"/>
      <c r="IH3" s="530"/>
      <c r="II3" s="530"/>
      <c r="IJ3" s="530"/>
      <c r="IK3" s="530"/>
      <c r="IL3" s="530"/>
      <c r="IM3" s="530"/>
      <c r="IN3" s="530"/>
      <c r="IO3" s="530"/>
      <c r="IP3" s="530"/>
      <c r="IQ3" s="530"/>
      <c r="IR3" s="530"/>
      <c r="IS3" s="530"/>
      <c r="IT3" s="530"/>
    </row>
    <row r="4" spans="1:254" ht="11.1" customHeight="1" x14ac:dyDescent="0.2">
      <c r="A4" s="543" t="s">
        <v>1941</v>
      </c>
      <c r="B4" s="539">
        <f t="shared" ref="B4:B54" si="0">E4*12</f>
        <v>93120</v>
      </c>
      <c r="C4" s="544"/>
      <c r="D4" s="541"/>
      <c r="E4" s="539">
        <v>7760</v>
      </c>
      <c r="F4" s="542"/>
      <c r="G4" s="540"/>
      <c r="H4" s="543">
        <f t="shared" ref="H4:H54" si="1">E4/M4-1</f>
        <v>0</v>
      </c>
      <c r="I4" s="543" t="s">
        <v>1941</v>
      </c>
      <c r="J4" s="539">
        <f t="shared" ref="J4:J54" si="2">M4*12</f>
        <v>93120</v>
      </c>
      <c r="K4" s="544"/>
      <c r="L4" s="541"/>
      <c r="M4" s="539">
        <v>7760</v>
      </c>
      <c r="N4" s="542"/>
      <c r="O4" s="540"/>
      <c r="P4" s="545"/>
      <c r="Q4" s="546"/>
      <c r="R4" s="546"/>
      <c r="S4" s="530"/>
      <c r="T4" s="530"/>
      <c r="U4" s="530"/>
      <c r="V4" s="530"/>
      <c r="W4" s="530"/>
      <c r="X4" s="530"/>
      <c r="Y4" s="530"/>
      <c r="Z4" s="530"/>
      <c r="AA4" s="530"/>
      <c r="AB4" s="530"/>
      <c r="AC4" s="530"/>
      <c r="AD4" s="530"/>
      <c r="AE4" s="530"/>
      <c r="AF4" s="530"/>
      <c r="AG4" s="530"/>
      <c r="AH4" s="530"/>
      <c r="AI4" s="530"/>
      <c r="AJ4" s="530"/>
      <c r="AK4" s="530"/>
      <c r="AL4" s="530"/>
      <c r="AM4" s="530"/>
      <c r="AN4" s="530"/>
      <c r="AO4" s="530"/>
      <c r="AP4" s="530"/>
      <c r="AQ4" s="530"/>
      <c r="AR4" s="530"/>
      <c r="AS4" s="530"/>
      <c r="AT4" s="530"/>
      <c r="AU4" s="530"/>
      <c r="AV4" s="530"/>
      <c r="AW4" s="530"/>
      <c r="AX4" s="530"/>
      <c r="AY4" s="530"/>
      <c r="AZ4" s="530"/>
      <c r="BA4" s="530"/>
      <c r="BB4" s="530"/>
      <c r="BC4" s="530"/>
      <c r="BD4" s="530"/>
      <c r="BE4" s="530"/>
      <c r="BF4" s="530"/>
      <c r="BG4" s="530"/>
      <c r="BH4" s="530"/>
      <c r="BI4" s="530"/>
      <c r="BJ4" s="530"/>
      <c r="BK4" s="530"/>
      <c r="BL4" s="530"/>
      <c r="BM4" s="530"/>
      <c r="BN4" s="530"/>
      <c r="BO4" s="530"/>
      <c r="BP4" s="530"/>
      <c r="BQ4" s="530"/>
      <c r="BR4" s="530"/>
      <c r="BS4" s="530"/>
      <c r="BT4" s="530"/>
      <c r="BU4" s="530"/>
      <c r="BV4" s="530"/>
      <c r="BW4" s="530"/>
      <c r="BX4" s="530"/>
      <c r="BY4" s="530"/>
      <c r="BZ4" s="530"/>
      <c r="CA4" s="530"/>
      <c r="CB4" s="530"/>
      <c r="CC4" s="530"/>
      <c r="CD4" s="530"/>
      <c r="CE4" s="530"/>
      <c r="CF4" s="530"/>
      <c r="CG4" s="530"/>
      <c r="CH4" s="530"/>
      <c r="CI4" s="530"/>
      <c r="CJ4" s="530"/>
      <c r="CK4" s="530"/>
      <c r="CL4" s="530"/>
      <c r="CM4" s="530"/>
      <c r="CN4" s="530"/>
      <c r="CO4" s="530"/>
      <c r="CP4" s="530"/>
      <c r="CQ4" s="530"/>
      <c r="CR4" s="530"/>
      <c r="CS4" s="530"/>
      <c r="CT4" s="530"/>
      <c r="CU4" s="530"/>
      <c r="CV4" s="530"/>
      <c r="CW4" s="530"/>
      <c r="CX4" s="530"/>
      <c r="CY4" s="530"/>
      <c r="CZ4" s="530"/>
      <c r="DA4" s="530"/>
      <c r="DB4" s="530"/>
      <c r="DC4" s="530"/>
      <c r="DD4" s="530"/>
      <c r="DE4" s="530"/>
      <c r="DF4" s="530"/>
      <c r="DG4" s="530"/>
      <c r="DH4" s="530"/>
      <c r="DI4" s="530"/>
      <c r="DJ4" s="530"/>
      <c r="DK4" s="530"/>
      <c r="DL4" s="530"/>
      <c r="DM4" s="530"/>
      <c r="DN4" s="530"/>
      <c r="DO4" s="530"/>
      <c r="DP4" s="530"/>
      <c r="DQ4" s="530"/>
      <c r="DR4" s="530"/>
      <c r="DS4" s="530"/>
      <c r="DT4" s="530"/>
      <c r="DU4" s="530"/>
      <c r="DV4" s="530"/>
      <c r="DW4" s="530"/>
      <c r="DX4" s="530"/>
      <c r="DY4" s="530"/>
      <c r="DZ4" s="530"/>
      <c r="EA4" s="530"/>
      <c r="EB4" s="530"/>
      <c r="EC4" s="530"/>
      <c r="ED4" s="530"/>
      <c r="EE4" s="530"/>
      <c r="EF4" s="530"/>
      <c r="EG4" s="530"/>
      <c r="EH4" s="530"/>
      <c r="EI4" s="530"/>
      <c r="EJ4" s="530"/>
      <c r="EK4" s="530"/>
      <c r="EL4" s="530"/>
      <c r="EM4" s="530"/>
      <c r="EN4" s="530"/>
      <c r="EO4" s="530"/>
      <c r="EP4" s="530"/>
      <c r="EQ4" s="530"/>
      <c r="ER4" s="530"/>
      <c r="ES4" s="530"/>
      <c r="ET4" s="530"/>
      <c r="EU4" s="530"/>
      <c r="EV4" s="530"/>
      <c r="EW4" s="530"/>
      <c r="EX4" s="530"/>
      <c r="EY4" s="530"/>
      <c r="EZ4" s="530"/>
      <c r="FA4" s="530"/>
      <c r="FB4" s="530"/>
      <c r="FC4" s="530"/>
      <c r="FD4" s="530"/>
      <c r="FE4" s="530"/>
      <c r="FF4" s="530"/>
      <c r="FG4" s="530"/>
      <c r="FH4" s="530"/>
      <c r="FI4" s="530"/>
      <c r="FJ4" s="530"/>
      <c r="FK4" s="530"/>
      <c r="FL4" s="530"/>
      <c r="FM4" s="530"/>
      <c r="FN4" s="530"/>
      <c r="FO4" s="530"/>
      <c r="FP4" s="530"/>
      <c r="FQ4" s="530"/>
      <c r="FR4" s="530"/>
      <c r="FS4" s="530"/>
      <c r="FT4" s="530"/>
      <c r="FU4" s="530"/>
      <c r="FV4" s="530"/>
      <c r="FW4" s="530"/>
      <c r="FX4" s="530"/>
      <c r="FY4" s="530"/>
      <c r="FZ4" s="530"/>
      <c r="GA4" s="530"/>
      <c r="GB4" s="530"/>
      <c r="GC4" s="530"/>
      <c r="GD4" s="530"/>
      <c r="GE4" s="530"/>
      <c r="GF4" s="530"/>
      <c r="GG4" s="530"/>
      <c r="GH4" s="530"/>
      <c r="GI4" s="530"/>
      <c r="GJ4" s="530"/>
      <c r="GK4" s="530"/>
      <c r="GL4" s="530"/>
      <c r="GM4" s="530"/>
      <c r="GN4" s="530"/>
      <c r="GO4" s="530"/>
      <c r="GP4" s="530"/>
      <c r="GQ4" s="530"/>
      <c r="GR4" s="530"/>
      <c r="GS4" s="530"/>
      <c r="GT4" s="530"/>
      <c r="GU4" s="530"/>
      <c r="GV4" s="530"/>
      <c r="GW4" s="530"/>
      <c r="GX4" s="530"/>
      <c r="GY4" s="530"/>
      <c r="GZ4" s="530"/>
      <c r="HA4" s="530"/>
      <c r="HB4" s="530"/>
      <c r="HC4" s="530"/>
      <c r="HD4" s="530"/>
      <c r="HE4" s="530"/>
      <c r="HF4" s="530"/>
      <c r="HG4" s="530"/>
      <c r="HH4" s="530"/>
      <c r="HI4" s="530"/>
      <c r="HJ4" s="530"/>
      <c r="HK4" s="530"/>
      <c r="HL4" s="530"/>
      <c r="HM4" s="530"/>
      <c r="HN4" s="530"/>
      <c r="HO4" s="530"/>
      <c r="HP4" s="530"/>
      <c r="HQ4" s="530"/>
      <c r="HR4" s="530"/>
      <c r="HS4" s="530"/>
      <c r="HT4" s="530"/>
      <c r="HU4" s="530"/>
      <c r="HV4" s="530"/>
      <c r="HW4" s="530"/>
      <c r="HX4" s="530"/>
      <c r="HY4" s="530"/>
      <c r="HZ4" s="530"/>
      <c r="IA4" s="530"/>
      <c r="IB4" s="530"/>
      <c r="IC4" s="530"/>
      <c r="ID4" s="530"/>
      <c r="IE4" s="530"/>
      <c r="IF4" s="530"/>
      <c r="IG4" s="530"/>
      <c r="IH4" s="530"/>
      <c r="II4" s="530"/>
      <c r="IJ4" s="530"/>
      <c r="IK4" s="530"/>
      <c r="IL4" s="530"/>
      <c r="IM4" s="530"/>
      <c r="IN4" s="530"/>
      <c r="IO4" s="530"/>
      <c r="IP4" s="530"/>
      <c r="IQ4" s="530"/>
      <c r="IR4" s="530"/>
      <c r="IS4" s="530"/>
      <c r="IT4" s="530"/>
    </row>
    <row r="5" spans="1:254" ht="11.1" customHeight="1" x14ac:dyDescent="0.2">
      <c r="A5" s="547" t="s">
        <v>1942</v>
      </c>
      <c r="B5" s="548">
        <f t="shared" si="0"/>
        <v>84600</v>
      </c>
      <c r="C5" s="549"/>
      <c r="D5" s="550"/>
      <c r="E5" s="548">
        <v>7050</v>
      </c>
      <c r="F5" s="551"/>
      <c r="G5" s="551"/>
      <c r="H5" s="547">
        <f t="shared" si="1"/>
        <v>0</v>
      </c>
      <c r="I5" s="547" t="s">
        <v>1942</v>
      </c>
      <c r="J5" s="548">
        <f t="shared" si="2"/>
        <v>84600</v>
      </c>
      <c r="K5" s="549"/>
      <c r="L5" s="550"/>
      <c r="M5" s="548">
        <v>7050</v>
      </c>
      <c r="N5" s="551"/>
      <c r="O5" s="551"/>
      <c r="P5" s="545"/>
      <c r="Q5" s="546"/>
      <c r="R5" s="546"/>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0"/>
      <c r="AU5" s="530"/>
      <c r="AV5" s="530"/>
      <c r="AW5" s="530"/>
      <c r="AX5" s="530"/>
      <c r="AY5" s="530"/>
      <c r="AZ5" s="530"/>
      <c r="BA5" s="530"/>
      <c r="BB5" s="530"/>
      <c r="BC5" s="530"/>
      <c r="BD5" s="530"/>
      <c r="BE5" s="530"/>
      <c r="BF5" s="530"/>
      <c r="BG5" s="530"/>
      <c r="BH5" s="530"/>
      <c r="BI5" s="530"/>
      <c r="BJ5" s="530"/>
      <c r="BK5" s="530"/>
      <c r="BL5" s="530"/>
      <c r="BM5" s="530"/>
      <c r="BN5" s="530"/>
      <c r="BO5" s="530"/>
      <c r="BP5" s="530"/>
      <c r="BQ5" s="530"/>
      <c r="BR5" s="530"/>
      <c r="BS5" s="530"/>
      <c r="BT5" s="530"/>
      <c r="BU5" s="530"/>
      <c r="BV5" s="530"/>
      <c r="BW5" s="530"/>
      <c r="BX5" s="530"/>
      <c r="BY5" s="530"/>
      <c r="BZ5" s="530"/>
      <c r="CA5" s="530"/>
      <c r="CB5" s="530"/>
      <c r="CC5" s="530"/>
      <c r="CD5" s="530"/>
      <c r="CE5" s="530"/>
      <c r="CF5" s="530"/>
      <c r="CG5" s="530"/>
      <c r="CH5" s="530"/>
      <c r="CI5" s="530"/>
      <c r="CJ5" s="530"/>
      <c r="CK5" s="530"/>
      <c r="CL5" s="530"/>
      <c r="CM5" s="530"/>
      <c r="CN5" s="530"/>
      <c r="CO5" s="530"/>
      <c r="CP5" s="530"/>
      <c r="CQ5" s="530"/>
      <c r="CR5" s="530"/>
      <c r="CS5" s="530"/>
      <c r="CT5" s="530"/>
      <c r="CU5" s="530"/>
      <c r="CV5" s="530"/>
      <c r="CW5" s="530"/>
      <c r="CX5" s="530"/>
      <c r="CY5" s="530"/>
      <c r="CZ5" s="530"/>
      <c r="DA5" s="530"/>
      <c r="DB5" s="530"/>
      <c r="DC5" s="530"/>
      <c r="DD5" s="530"/>
      <c r="DE5" s="530"/>
      <c r="DF5" s="530"/>
      <c r="DG5" s="530"/>
      <c r="DH5" s="530"/>
      <c r="DI5" s="530"/>
      <c r="DJ5" s="530"/>
      <c r="DK5" s="530"/>
      <c r="DL5" s="530"/>
      <c r="DM5" s="530"/>
      <c r="DN5" s="530"/>
      <c r="DO5" s="530"/>
      <c r="DP5" s="530"/>
      <c r="DQ5" s="530"/>
      <c r="DR5" s="530"/>
      <c r="DS5" s="530"/>
      <c r="DT5" s="530"/>
      <c r="DU5" s="530"/>
      <c r="DV5" s="530"/>
      <c r="DW5" s="530"/>
      <c r="DX5" s="530"/>
      <c r="DY5" s="530"/>
      <c r="DZ5" s="530"/>
      <c r="EA5" s="530"/>
      <c r="EB5" s="530"/>
      <c r="EC5" s="530"/>
      <c r="ED5" s="530"/>
      <c r="EE5" s="530"/>
      <c r="EF5" s="530"/>
      <c r="EG5" s="530"/>
      <c r="EH5" s="530"/>
      <c r="EI5" s="530"/>
      <c r="EJ5" s="530"/>
      <c r="EK5" s="530"/>
      <c r="EL5" s="530"/>
      <c r="EM5" s="530"/>
      <c r="EN5" s="530"/>
      <c r="EO5" s="530"/>
      <c r="EP5" s="530"/>
      <c r="EQ5" s="530"/>
      <c r="ER5" s="530"/>
      <c r="ES5" s="530"/>
      <c r="ET5" s="530"/>
      <c r="EU5" s="530"/>
      <c r="EV5" s="530"/>
      <c r="EW5" s="530"/>
      <c r="EX5" s="530"/>
      <c r="EY5" s="530"/>
      <c r="EZ5" s="530"/>
      <c r="FA5" s="530"/>
      <c r="FB5" s="530"/>
      <c r="FC5" s="530"/>
      <c r="FD5" s="530"/>
      <c r="FE5" s="530"/>
      <c r="FF5" s="530"/>
      <c r="FG5" s="530"/>
      <c r="FH5" s="530"/>
      <c r="FI5" s="530"/>
      <c r="FJ5" s="530"/>
      <c r="FK5" s="530"/>
      <c r="FL5" s="530"/>
      <c r="FM5" s="530"/>
      <c r="FN5" s="530"/>
      <c r="FO5" s="530"/>
      <c r="FP5" s="530"/>
      <c r="FQ5" s="530"/>
      <c r="FR5" s="530"/>
      <c r="FS5" s="530"/>
      <c r="FT5" s="530"/>
      <c r="FU5" s="530"/>
      <c r="FV5" s="530"/>
      <c r="FW5" s="530"/>
      <c r="FX5" s="530"/>
      <c r="FY5" s="530"/>
      <c r="FZ5" s="530"/>
      <c r="GA5" s="530"/>
      <c r="GB5" s="530"/>
      <c r="GC5" s="530"/>
      <c r="GD5" s="530"/>
      <c r="GE5" s="530"/>
      <c r="GF5" s="530"/>
      <c r="GG5" s="530"/>
      <c r="GH5" s="530"/>
      <c r="GI5" s="530"/>
      <c r="GJ5" s="530"/>
      <c r="GK5" s="530"/>
      <c r="GL5" s="530"/>
      <c r="GM5" s="530"/>
      <c r="GN5" s="530"/>
      <c r="GO5" s="530"/>
      <c r="GP5" s="530"/>
      <c r="GQ5" s="530"/>
      <c r="GR5" s="530"/>
      <c r="GS5" s="530"/>
      <c r="GT5" s="530"/>
      <c r="GU5" s="530"/>
      <c r="GV5" s="530"/>
      <c r="GW5" s="530"/>
      <c r="GX5" s="530"/>
      <c r="GY5" s="530"/>
      <c r="GZ5" s="530"/>
      <c r="HA5" s="530"/>
      <c r="HB5" s="530"/>
      <c r="HC5" s="530"/>
      <c r="HD5" s="530"/>
      <c r="HE5" s="530"/>
      <c r="HF5" s="530"/>
      <c r="HG5" s="530"/>
      <c r="HH5" s="530"/>
      <c r="HI5" s="530"/>
      <c r="HJ5" s="530"/>
      <c r="HK5" s="530"/>
      <c r="HL5" s="530"/>
      <c r="HM5" s="530"/>
      <c r="HN5" s="530"/>
      <c r="HO5" s="530"/>
      <c r="HP5" s="530"/>
      <c r="HQ5" s="530"/>
      <c r="HR5" s="530"/>
      <c r="HS5" s="530"/>
      <c r="HT5" s="530"/>
      <c r="HU5" s="530"/>
      <c r="HV5" s="530"/>
      <c r="HW5" s="530"/>
      <c r="HX5" s="530"/>
      <c r="HY5" s="530"/>
      <c r="HZ5" s="530"/>
      <c r="IA5" s="530"/>
      <c r="IB5" s="530"/>
      <c r="IC5" s="530"/>
      <c r="ID5" s="530"/>
      <c r="IE5" s="530"/>
      <c r="IF5" s="530"/>
      <c r="IG5" s="530"/>
      <c r="IH5" s="530"/>
      <c r="II5" s="530"/>
      <c r="IJ5" s="530"/>
      <c r="IK5" s="530"/>
      <c r="IL5" s="530"/>
      <c r="IM5" s="530"/>
      <c r="IN5" s="530"/>
      <c r="IO5" s="530"/>
      <c r="IP5" s="530"/>
      <c r="IQ5" s="530"/>
      <c r="IR5" s="530"/>
      <c r="IS5" s="530"/>
      <c r="IT5" s="530"/>
    </row>
    <row r="6" spans="1:254" ht="11.1" customHeight="1" x14ac:dyDescent="0.2">
      <c r="A6" s="552" t="s">
        <v>1943</v>
      </c>
      <c r="B6" s="553">
        <f t="shared" si="0"/>
        <v>82800</v>
      </c>
      <c r="C6" s="554"/>
      <c r="D6" s="555"/>
      <c r="E6" s="553">
        <v>6900</v>
      </c>
      <c r="F6" s="556"/>
      <c r="G6" s="556"/>
      <c r="H6" s="552">
        <f t="shared" si="1"/>
        <v>0</v>
      </c>
      <c r="I6" s="552" t="s">
        <v>1943</v>
      </c>
      <c r="J6" s="553">
        <f t="shared" si="2"/>
        <v>82800</v>
      </c>
      <c r="K6" s="554"/>
      <c r="L6" s="555"/>
      <c r="M6" s="553">
        <v>6900</v>
      </c>
      <c r="N6" s="556"/>
      <c r="O6" s="556"/>
      <c r="P6" s="545"/>
      <c r="Q6" s="546"/>
      <c r="R6" s="546"/>
      <c r="S6" s="530"/>
      <c r="T6" s="530"/>
      <c r="U6" s="530"/>
      <c r="V6" s="530"/>
      <c r="W6" s="530"/>
      <c r="X6" s="530"/>
      <c r="Y6" s="530"/>
      <c r="Z6" s="530"/>
      <c r="AA6" s="530"/>
      <c r="AB6" s="530"/>
      <c r="AC6" s="530"/>
      <c r="AD6" s="530"/>
      <c r="AE6" s="530"/>
      <c r="AF6" s="530"/>
      <c r="AG6" s="530"/>
      <c r="AH6" s="530"/>
      <c r="AI6" s="530"/>
      <c r="AJ6" s="530"/>
      <c r="AK6" s="530"/>
      <c r="AL6" s="530"/>
      <c r="AM6" s="530"/>
      <c r="AN6" s="530"/>
      <c r="AO6" s="530"/>
      <c r="AP6" s="530"/>
      <c r="AQ6" s="530"/>
      <c r="AR6" s="530"/>
      <c r="AS6" s="530"/>
      <c r="AT6" s="530"/>
      <c r="AU6" s="530"/>
      <c r="AV6" s="530"/>
      <c r="AW6" s="530"/>
      <c r="AX6" s="530"/>
      <c r="AY6" s="530"/>
      <c r="AZ6" s="530"/>
      <c r="BA6" s="530"/>
      <c r="BB6" s="530"/>
      <c r="BC6" s="530"/>
      <c r="BD6" s="530"/>
      <c r="BE6" s="530"/>
      <c r="BF6" s="530"/>
      <c r="BG6" s="530"/>
      <c r="BH6" s="530"/>
      <c r="BI6" s="530"/>
      <c r="BJ6" s="530"/>
      <c r="BK6" s="530"/>
      <c r="BL6" s="530"/>
      <c r="BM6" s="530"/>
      <c r="BN6" s="530"/>
      <c r="BO6" s="530"/>
      <c r="BP6" s="530"/>
      <c r="BQ6" s="530"/>
      <c r="BR6" s="530"/>
      <c r="BS6" s="530"/>
      <c r="BT6" s="530"/>
      <c r="BU6" s="530"/>
      <c r="BV6" s="530"/>
      <c r="BW6" s="530"/>
      <c r="BX6" s="530"/>
      <c r="BY6" s="530"/>
      <c r="BZ6" s="530"/>
      <c r="CA6" s="530"/>
      <c r="CB6" s="530"/>
      <c r="CC6" s="530"/>
      <c r="CD6" s="530"/>
      <c r="CE6" s="530"/>
      <c r="CF6" s="530"/>
      <c r="CG6" s="530"/>
      <c r="CH6" s="530"/>
      <c r="CI6" s="530"/>
      <c r="CJ6" s="530"/>
      <c r="CK6" s="530"/>
      <c r="CL6" s="530"/>
      <c r="CM6" s="530"/>
      <c r="CN6" s="530"/>
      <c r="CO6" s="530"/>
      <c r="CP6" s="530"/>
      <c r="CQ6" s="530"/>
      <c r="CR6" s="530"/>
      <c r="CS6" s="530"/>
      <c r="CT6" s="530"/>
      <c r="CU6" s="530"/>
      <c r="CV6" s="530"/>
      <c r="CW6" s="530"/>
      <c r="CX6" s="530"/>
      <c r="CY6" s="530"/>
      <c r="CZ6" s="530"/>
      <c r="DA6" s="530"/>
      <c r="DB6" s="530"/>
      <c r="DC6" s="530"/>
      <c r="DD6" s="530"/>
      <c r="DE6" s="530"/>
      <c r="DF6" s="530"/>
      <c r="DG6" s="530"/>
      <c r="DH6" s="530"/>
      <c r="DI6" s="530"/>
      <c r="DJ6" s="530"/>
      <c r="DK6" s="530"/>
      <c r="DL6" s="530"/>
      <c r="DM6" s="530"/>
      <c r="DN6" s="530"/>
      <c r="DO6" s="530"/>
      <c r="DP6" s="530"/>
      <c r="DQ6" s="530"/>
      <c r="DR6" s="530"/>
      <c r="DS6" s="530"/>
      <c r="DT6" s="530"/>
      <c r="DU6" s="530"/>
      <c r="DV6" s="530"/>
      <c r="DW6" s="530"/>
      <c r="DX6" s="530"/>
      <c r="DY6" s="530"/>
      <c r="DZ6" s="530"/>
      <c r="EA6" s="530"/>
      <c r="EB6" s="530"/>
      <c r="EC6" s="530"/>
      <c r="ED6" s="530"/>
      <c r="EE6" s="530"/>
      <c r="EF6" s="530"/>
      <c r="EG6" s="530"/>
      <c r="EH6" s="530"/>
      <c r="EI6" s="530"/>
      <c r="EJ6" s="530"/>
      <c r="EK6" s="530"/>
      <c r="EL6" s="530"/>
      <c r="EM6" s="530"/>
      <c r="EN6" s="530"/>
      <c r="EO6" s="530"/>
      <c r="EP6" s="530"/>
      <c r="EQ6" s="530"/>
      <c r="ER6" s="530"/>
      <c r="ES6" s="530"/>
      <c r="ET6" s="530"/>
      <c r="EU6" s="530"/>
      <c r="EV6" s="530"/>
      <c r="EW6" s="530"/>
      <c r="EX6" s="530"/>
      <c r="EY6" s="530"/>
      <c r="EZ6" s="530"/>
      <c r="FA6" s="530"/>
      <c r="FB6" s="530"/>
      <c r="FC6" s="530"/>
      <c r="FD6" s="530"/>
      <c r="FE6" s="530"/>
      <c r="FF6" s="530"/>
      <c r="FG6" s="530"/>
      <c r="FH6" s="530"/>
      <c r="FI6" s="530"/>
      <c r="FJ6" s="530"/>
      <c r="FK6" s="530"/>
      <c r="FL6" s="530"/>
      <c r="FM6" s="530"/>
      <c r="FN6" s="530"/>
      <c r="FO6" s="530"/>
      <c r="FP6" s="530"/>
      <c r="FQ6" s="530"/>
      <c r="FR6" s="530"/>
      <c r="FS6" s="530"/>
      <c r="FT6" s="530"/>
      <c r="FU6" s="530"/>
      <c r="FV6" s="530"/>
      <c r="FW6" s="530"/>
      <c r="FX6" s="530"/>
      <c r="FY6" s="530"/>
      <c r="FZ6" s="530"/>
      <c r="GA6" s="530"/>
      <c r="GB6" s="530"/>
      <c r="GC6" s="530"/>
      <c r="GD6" s="530"/>
      <c r="GE6" s="530"/>
      <c r="GF6" s="530"/>
      <c r="GG6" s="530"/>
      <c r="GH6" s="530"/>
      <c r="GI6" s="530"/>
      <c r="GJ6" s="530"/>
      <c r="GK6" s="530"/>
      <c r="GL6" s="530"/>
      <c r="GM6" s="530"/>
      <c r="GN6" s="530"/>
      <c r="GO6" s="530"/>
      <c r="GP6" s="530"/>
      <c r="GQ6" s="530"/>
      <c r="GR6" s="530"/>
      <c r="GS6" s="530"/>
      <c r="GT6" s="530"/>
      <c r="GU6" s="530"/>
      <c r="GV6" s="530"/>
      <c r="GW6" s="530"/>
      <c r="GX6" s="530"/>
      <c r="GY6" s="530"/>
      <c r="GZ6" s="530"/>
      <c r="HA6" s="530"/>
      <c r="HB6" s="530"/>
      <c r="HC6" s="530"/>
      <c r="HD6" s="530"/>
      <c r="HE6" s="530"/>
      <c r="HF6" s="530"/>
      <c r="HG6" s="530"/>
      <c r="HH6" s="530"/>
      <c r="HI6" s="530"/>
      <c r="HJ6" s="530"/>
      <c r="HK6" s="530"/>
      <c r="HL6" s="530"/>
      <c r="HM6" s="530"/>
      <c r="HN6" s="530"/>
      <c r="HO6" s="530"/>
      <c r="HP6" s="530"/>
      <c r="HQ6" s="530"/>
      <c r="HR6" s="530"/>
      <c r="HS6" s="530"/>
      <c r="HT6" s="530"/>
      <c r="HU6" s="530"/>
      <c r="HV6" s="530"/>
      <c r="HW6" s="530"/>
      <c r="HX6" s="530"/>
      <c r="HY6" s="530"/>
      <c r="HZ6" s="530"/>
      <c r="IA6" s="530"/>
      <c r="IB6" s="530"/>
      <c r="IC6" s="530"/>
      <c r="ID6" s="530"/>
      <c r="IE6" s="530"/>
      <c r="IF6" s="530"/>
      <c r="IG6" s="530"/>
      <c r="IH6" s="530"/>
      <c r="II6" s="530"/>
      <c r="IJ6" s="530"/>
      <c r="IK6" s="530"/>
      <c r="IL6" s="530"/>
      <c r="IM6" s="530"/>
      <c r="IN6" s="530"/>
      <c r="IO6" s="530"/>
      <c r="IP6" s="530"/>
      <c r="IQ6" s="530"/>
      <c r="IR6" s="530"/>
      <c r="IS6" s="530"/>
      <c r="IT6" s="530"/>
    </row>
    <row r="7" spans="1:254" ht="11.1" customHeight="1" x14ac:dyDescent="0.2">
      <c r="A7" s="547" t="s">
        <v>1944</v>
      </c>
      <c r="B7" s="548">
        <f t="shared" si="0"/>
        <v>79920</v>
      </c>
      <c r="C7" s="549"/>
      <c r="D7" s="550"/>
      <c r="E7" s="548">
        <v>6660</v>
      </c>
      <c r="F7" s="551"/>
      <c r="G7" s="551"/>
      <c r="H7" s="547">
        <f t="shared" si="1"/>
        <v>0</v>
      </c>
      <c r="I7" s="547" t="s">
        <v>1944</v>
      </c>
      <c r="J7" s="548">
        <f t="shared" si="2"/>
        <v>79920</v>
      </c>
      <c r="K7" s="549"/>
      <c r="L7" s="550"/>
      <c r="M7" s="548">
        <v>6660</v>
      </c>
      <c r="N7" s="551"/>
      <c r="O7" s="551"/>
      <c r="P7" s="545"/>
      <c r="Q7" s="546"/>
      <c r="R7" s="546"/>
      <c r="S7" s="530"/>
      <c r="T7" s="530"/>
      <c r="U7" s="545"/>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0"/>
      <c r="CK7" s="530"/>
      <c r="CL7" s="530"/>
      <c r="CM7" s="530"/>
      <c r="CN7" s="530"/>
      <c r="CO7" s="530"/>
      <c r="CP7" s="530"/>
      <c r="CQ7" s="530"/>
      <c r="CR7" s="530"/>
      <c r="CS7" s="530"/>
      <c r="CT7" s="530"/>
      <c r="CU7" s="530"/>
      <c r="CV7" s="530"/>
      <c r="CW7" s="530"/>
      <c r="CX7" s="530"/>
      <c r="CY7" s="530"/>
      <c r="CZ7" s="530"/>
      <c r="DA7" s="530"/>
      <c r="DB7" s="530"/>
      <c r="DC7" s="530"/>
      <c r="DD7" s="530"/>
      <c r="DE7" s="530"/>
      <c r="DF7" s="530"/>
      <c r="DG7" s="530"/>
      <c r="DH7" s="530"/>
      <c r="DI7" s="530"/>
      <c r="DJ7" s="530"/>
      <c r="DK7" s="530"/>
      <c r="DL7" s="530"/>
      <c r="DM7" s="530"/>
      <c r="DN7" s="530"/>
      <c r="DO7" s="530"/>
      <c r="DP7" s="530"/>
      <c r="DQ7" s="530"/>
      <c r="DR7" s="530"/>
      <c r="DS7" s="530"/>
      <c r="DT7" s="530"/>
      <c r="DU7" s="530"/>
      <c r="DV7" s="530"/>
      <c r="DW7" s="530"/>
      <c r="DX7" s="530"/>
      <c r="DY7" s="530"/>
      <c r="DZ7" s="530"/>
      <c r="EA7" s="530"/>
      <c r="EB7" s="530"/>
      <c r="EC7" s="530"/>
      <c r="ED7" s="530"/>
      <c r="EE7" s="530"/>
      <c r="EF7" s="530"/>
      <c r="EG7" s="530"/>
      <c r="EH7" s="530"/>
      <c r="EI7" s="530"/>
      <c r="EJ7" s="530"/>
      <c r="EK7" s="530"/>
      <c r="EL7" s="530"/>
      <c r="EM7" s="530"/>
      <c r="EN7" s="530"/>
      <c r="EO7" s="530"/>
      <c r="EP7" s="530"/>
      <c r="EQ7" s="530"/>
      <c r="ER7" s="530"/>
      <c r="ES7" s="530"/>
      <c r="ET7" s="530"/>
      <c r="EU7" s="530"/>
      <c r="EV7" s="530"/>
      <c r="EW7" s="530"/>
      <c r="EX7" s="530"/>
      <c r="EY7" s="530"/>
      <c r="EZ7" s="530"/>
      <c r="FA7" s="530"/>
      <c r="FB7" s="530"/>
      <c r="FC7" s="530"/>
      <c r="FD7" s="530"/>
      <c r="FE7" s="530"/>
      <c r="FF7" s="530"/>
      <c r="FG7" s="530"/>
      <c r="FH7" s="530"/>
      <c r="FI7" s="530"/>
      <c r="FJ7" s="530"/>
      <c r="FK7" s="530"/>
      <c r="FL7" s="530"/>
      <c r="FM7" s="530"/>
      <c r="FN7" s="530"/>
      <c r="FO7" s="530"/>
      <c r="FP7" s="530"/>
      <c r="FQ7" s="530"/>
      <c r="FR7" s="530"/>
      <c r="FS7" s="530"/>
      <c r="FT7" s="530"/>
      <c r="FU7" s="530"/>
      <c r="FV7" s="530"/>
      <c r="FW7" s="530"/>
      <c r="FX7" s="530"/>
      <c r="FY7" s="530"/>
      <c r="FZ7" s="530"/>
      <c r="GA7" s="530"/>
      <c r="GB7" s="530"/>
      <c r="GC7" s="530"/>
      <c r="GD7" s="530"/>
      <c r="GE7" s="530"/>
      <c r="GF7" s="530"/>
      <c r="GG7" s="530"/>
      <c r="GH7" s="530"/>
      <c r="GI7" s="530"/>
      <c r="GJ7" s="530"/>
      <c r="GK7" s="530"/>
      <c r="GL7" s="530"/>
      <c r="GM7" s="530"/>
      <c r="GN7" s="530"/>
      <c r="GO7" s="530"/>
      <c r="GP7" s="530"/>
      <c r="GQ7" s="530"/>
      <c r="GR7" s="530"/>
      <c r="GS7" s="530"/>
      <c r="GT7" s="530"/>
      <c r="GU7" s="530"/>
      <c r="GV7" s="530"/>
      <c r="GW7" s="530"/>
      <c r="GX7" s="530"/>
      <c r="GY7" s="530"/>
      <c r="GZ7" s="530"/>
      <c r="HA7" s="530"/>
      <c r="HB7" s="530"/>
      <c r="HC7" s="530"/>
      <c r="HD7" s="530"/>
      <c r="HE7" s="530"/>
      <c r="HF7" s="530"/>
      <c r="HG7" s="530"/>
      <c r="HH7" s="530"/>
      <c r="HI7" s="530"/>
      <c r="HJ7" s="530"/>
      <c r="HK7" s="530"/>
      <c r="HL7" s="530"/>
      <c r="HM7" s="530"/>
      <c r="HN7" s="530"/>
      <c r="HO7" s="530"/>
      <c r="HP7" s="530"/>
      <c r="HQ7" s="530"/>
      <c r="HR7" s="530"/>
      <c r="HS7" s="530"/>
      <c r="HT7" s="530"/>
      <c r="HU7" s="530"/>
      <c r="HV7" s="530"/>
      <c r="HW7" s="530"/>
      <c r="HX7" s="530"/>
      <c r="HY7" s="530"/>
      <c r="HZ7" s="530"/>
      <c r="IA7" s="530"/>
      <c r="IB7" s="530"/>
      <c r="IC7" s="530"/>
      <c r="ID7" s="530"/>
      <c r="IE7" s="530"/>
      <c r="IF7" s="530"/>
      <c r="IG7" s="530"/>
      <c r="IH7" s="530"/>
      <c r="II7" s="530"/>
      <c r="IJ7" s="530"/>
      <c r="IK7" s="530"/>
      <c r="IL7" s="530"/>
      <c r="IM7" s="530"/>
      <c r="IN7" s="530"/>
      <c r="IO7" s="530"/>
      <c r="IP7" s="530"/>
      <c r="IQ7" s="530"/>
      <c r="IR7" s="530"/>
      <c r="IS7" s="530"/>
      <c r="IT7" s="530"/>
    </row>
    <row r="8" spans="1:254" ht="11.1" customHeight="1" x14ac:dyDescent="0.2">
      <c r="A8" s="552" t="s">
        <v>1945</v>
      </c>
      <c r="B8" s="553">
        <f t="shared" si="0"/>
        <v>78000</v>
      </c>
      <c r="C8" s="554"/>
      <c r="D8" s="555"/>
      <c r="E8" s="553">
        <v>6500</v>
      </c>
      <c r="F8" s="556"/>
      <c r="G8" s="556"/>
      <c r="H8" s="552">
        <f t="shared" si="1"/>
        <v>0</v>
      </c>
      <c r="I8" s="552" t="s">
        <v>1945</v>
      </c>
      <c r="J8" s="553">
        <f t="shared" si="2"/>
        <v>78000</v>
      </c>
      <c r="K8" s="554"/>
      <c r="L8" s="555"/>
      <c r="M8" s="553">
        <v>6500</v>
      </c>
      <c r="N8" s="556"/>
      <c r="O8" s="556"/>
      <c r="P8" s="545"/>
      <c r="Q8" s="546"/>
      <c r="R8" s="546"/>
      <c r="S8" s="530"/>
      <c r="T8" s="530"/>
      <c r="U8" s="545"/>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0"/>
      <c r="BC8" s="530"/>
      <c r="BD8" s="530"/>
      <c r="BE8" s="530"/>
      <c r="BF8" s="530"/>
      <c r="BG8" s="530"/>
      <c r="BH8" s="530"/>
      <c r="BI8" s="530"/>
      <c r="BJ8" s="530"/>
      <c r="BK8" s="530"/>
      <c r="BL8" s="530"/>
      <c r="BM8" s="530"/>
      <c r="BN8" s="530"/>
      <c r="BO8" s="530"/>
      <c r="BP8" s="530"/>
      <c r="BQ8" s="530"/>
      <c r="BR8" s="530"/>
      <c r="BS8" s="530"/>
      <c r="BT8" s="530"/>
      <c r="BU8" s="530"/>
      <c r="BV8" s="530"/>
      <c r="BW8" s="530"/>
      <c r="BX8" s="530"/>
      <c r="BY8" s="530"/>
      <c r="BZ8" s="530"/>
      <c r="CA8" s="530"/>
      <c r="CB8" s="530"/>
      <c r="CC8" s="530"/>
      <c r="CD8" s="530"/>
      <c r="CE8" s="530"/>
      <c r="CF8" s="530"/>
      <c r="CG8" s="530"/>
      <c r="CH8" s="530"/>
      <c r="CI8" s="530"/>
      <c r="CJ8" s="530"/>
      <c r="CK8" s="530"/>
      <c r="CL8" s="530"/>
      <c r="CM8" s="530"/>
      <c r="CN8" s="530"/>
      <c r="CO8" s="530"/>
      <c r="CP8" s="530"/>
      <c r="CQ8" s="530"/>
      <c r="CR8" s="530"/>
      <c r="CS8" s="530"/>
      <c r="CT8" s="530"/>
      <c r="CU8" s="530"/>
      <c r="CV8" s="530"/>
      <c r="CW8" s="530"/>
      <c r="CX8" s="530"/>
      <c r="CY8" s="530"/>
      <c r="CZ8" s="530"/>
      <c r="DA8" s="530"/>
      <c r="DB8" s="530"/>
      <c r="DC8" s="530"/>
      <c r="DD8" s="530"/>
      <c r="DE8" s="530"/>
      <c r="DF8" s="530"/>
      <c r="DG8" s="530"/>
      <c r="DH8" s="530"/>
      <c r="DI8" s="530"/>
      <c r="DJ8" s="530"/>
      <c r="DK8" s="530"/>
      <c r="DL8" s="530"/>
      <c r="DM8" s="530"/>
      <c r="DN8" s="530"/>
      <c r="DO8" s="530"/>
      <c r="DP8" s="530"/>
      <c r="DQ8" s="530"/>
      <c r="DR8" s="530"/>
      <c r="DS8" s="530"/>
      <c r="DT8" s="530"/>
      <c r="DU8" s="530"/>
      <c r="DV8" s="530"/>
      <c r="DW8" s="530"/>
      <c r="DX8" s="530"/>
      <c r="DY8" s="530"/>
      <c r="DZ8" s="530"/>
      <c r="EA8" s="530"/>
      <c r="EB8" s="530"/>
      <c r="EC8" s="530"/>
      <c r="ED8" s="530"/>
      <c r="EE8" s="530"/>
      <c r="EF8" s="530"/>
      <c r="EG8" s="530"/>
      <c r="EH8" s="530"/>
      <c r="EI8" s="530"/>
      <c r="EJ8" s="530"/>
      <c r="EK8" s="530"/>
      <c r="EL8" s="530"/>
      <c r="EM8" s="530"/>
      <c r="EN8" s="530"/>
      <c r="EO8" s="530"/>
      <c r="EP8" s="530"/>
      <c r="EQ8" s="530"/>
      <c r="ER8" s="530"/>
      <c r="ES8" s="530"/>
      <c r="ET8" s="530"/>
      <c r="EU8" s="530"/>
      <c r="EV8" s="530"/>
      <c r="EW8" s="530"/>
      <c r="EX8" s="530"/>
      <c r="EY8" s="530"/>
      <c r="EZ8" s="530"/>
      <c r="FA8" s="530"/>
      <c r="FB8" s="530"/>
      <c r="FC8" s="530"/>
      <c r="FD8" s="530"/>
      <c r="FE8" s="530"/>
      <c r="FF8" s="530"/>
      <c r="FG8" s="530"/>
      <c r="FH8" s="530"/>
      <c r="FI8" s="530"/>
      <c r="FJ8" s="530"/>
      <c r="FK8" s="530"/>
      <c r="FL8" s="530"/>
      <c r="FM8" s="530"/>
      <c r="FN8" s="530"/>
      <c r="FO8" s="530"/>
      <c r="FP8" s="530"/>
      <c r="FQ8" s="530"/>
      <c r="FR8" s="530"/>
      <c r="FS8" s="530"/>
      <c r="FT8" s="530"/>
      <c r="FU8" s="530"/>
      <c r="FV8" s="530"/>
      <c r="FW8" s="530"/>
      <c r="FX8" s="530"/>
      <c r="FY8" s="530"/>
      <c r="FZ8" s="530"/>
      <c r="GA8" s="530"/>
      <c r="GB8" s="530"/>
      <c r="GC8" s="530"/>
      <c r="GD8" s="530"/>
      <c r="GE8" s="530"/>
      <c r="GF8" s="530"/>
      <c r="GG8" s="530"/>
      <c r="GH8" s="530"/>
      <c r="GI8" s="530"/>
      <c r="GJ8" s="530"/>
      <c r="GK8" s="530"/>
      <c r="GL8" s="530"/>
      <c r="GM8" s="530"/>
      <c r="GN8" s="530"/>
      <c r="GO8" s="530"/>
      <c r="GP8" s="530"/>
      <c r="GQ8" s="530"/>
      <c r="GR8" s="530"/>
      <c r="GS8" s="530"/>
      <c r="GT8" s="530"/>
      <c r="GU8" s="530"/>
      <c r="GV8" s="530"/>
      <c r="GW8" s="530"/>
      <c r="GX8" s="530"/>
      <c r="GY8" s="530"/>
      <c r="GZ8" s="530"/>
      <c r="HA8" s="530"/>
      <c r="HB8" s="530"/>
      <c r="HC8" s="530"/>
      <c r="HD8" s="530"/>
      <c r="HE8" s="530"/>
      <c r="HF8" s="530"/>
      <c r="HG8" s="530"/>
      <c r="HH8" s="530"/>
      <c r="HI8" s="530"/>
      <c r="HJ8" s="530"/>
      <c r="HK8" s="530"/>
      <c r="HL8" s="530"/>
      <c r="HM8" s="530"/>
      <c r="HN8" s="530"/>
      <c r="HO8" s="530"/>
      <c r="HP8" s="530"/>
      <c r="HQ8" s="530"/>
      <c r="HR8" s="530"/>
      <c r="HS8" s="530"/>
      <c r="HT8" s="530"/>
      <c r="HU8" s="530"/>
      <c r="HV8" s="530"/>
      <c r="HW8" s="530"/>
      <c r="HX8" s="530"/>
      <c r="HY8" s="530"/>
      <c r="HZ8" s="530"/>
      <c r="IA8" s="530"/>
      <c r="IB8" s="530"/>
      <c r="IC8" s="530"/>
      <c r="ID8" s="530"/>
      <c r="IE8" s="530"/>
      <c r="IF8" s="530"/>
      <c r="IG8" s="530"/>
      <c r="IH8" s="530"/>
      <c r="II8" s="530"/>
      <c r="IJ8" s="530"/>
      <c r="IK8" s="530"/>
      <c r="IL8" s="530"/>
      <c r="IM8" s="530"/>
      <c r="IN8" s="530"/>
      <c r="IO8" s="530"/>
      <c r="IP8" s="530"/>
      <c r="IQ8" s="530"/>
      <c r="IR8" s="530"/>
      <c r="IS8" s="530"/>
      <c r="IT8" s="530"/>
    </row>
    <row r="9" spans="1:254" ht="11.1" customHeight="1" x14ac:dyDescent="0.2">
      <c r="A9" s="547" t="s">
        <v>1946</v>
      </c>
      <c r="B9" s="548">
        <f t="shared" si="0"/>
        <v>75000</v>
      </c>
      <c r="C9" s="549"/>
      <c r="D9" s="550"/>
      <c r="E9" s="548">
        <v>6250</v>
      </c>
      <c r="F9" s="551"/>
      <c r="G9" s="551"/>
      <c r="H9" s="547">
        <f t="shared" si="1"/>
        <v>0</v>
      </c>
      <c r="I9" s="547" t="s">
        <v>1946</v>
      </c>
      <c r="J9" s="548">
        <f t="shared" si="2"/>
        <v>75000</v>
      </c>
      <c r="K9" s="549"/>
      <c r="L9" s="550"/>
      <c r="M9" s="548">
        <v>6250</v>
      </c>
      <c r="N9" s="551"/>
      <c r="O9" s="551"/>
      <c r="P9" s="545"/>
      <c r="Q9" s="546"/>
      <c r="R9" s="546"/>
      <c r="S9" s="530"/>
      <c r="T9" s="530"/>
      <c r="U9" s="545"/>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530"/>
      <c r="BW9" s="530"/>
      <c r="BX9" s="530"/>
      <c r="BY9" s="530"/>
      <c r="BZ9" s="530"/>
      <c r="CA9" s="530"/>
      <c r="CB9" s="530"/>
      <c r="CC9" s="530"/>
      <c r="CD9" s="530"/>
      <c r="CE9" s="530"/>
      <c r="CF9" s="530"/>
      <c r="CG9" s="530"/>
      <c r="CH9" s="530"/>
      <c r="CI9" s="530"/>
      <c r="CJ9" s="530"/>
      <c r="CK9" s="530"/>
      <c r="CL9" s="530"/>
      <c r="CM9" s="530"/>
      <c r="CN9" s="530"/>
      <c r="CO9" s="530"/>
      <c r="CP9" s="530"/>
      <c r="CQ9" s="530"/>
      <c r="CR9" s="530"/>
      <c r="CS9" s="530"/>
      <c r="CT9" s="530"/>
      <c r="CU9" s="530"/>
      <c r="CV9" s="530"/>
      <c r="CW9" s="530"/>
      <c r="CX9" s="530"/>
      <c r="CY9" s="530"/>
      <c r="CZ9" s="530"/>
      <c r="DA9" s="530"/>
      <c r="DB9" s="530"/>
      <c r="DC9" s="530"/>
      <c r="DD9" s="530"/>
      <c r="DE9" s="530"/>
      <c r="DF9" s="530"/>
      <c r="DG9" s="530"/>
      <c r="DH9" s="530"/>
      <c r="DI9" s="530"/>
      <c r="DJ9" s="530"/>
      <c r="DK9" s="530"/>
      <c r="DL9" s="530"/>
      <c r="DM9" s="530"/>
      <c r="DN9" s="530"/>
      <c r="DO9" s="530"/>
      <c r="DP9" s="530"/>
      <c r="DQ9" s="530"/>
      <c r="DR9" s="530"/>
      <c r="DS9" s="530"/>
      <c r="DT9" s="530"/>
      <c r="DU9" s="530"/>
      <c r="DV9" s="530"/>
      <c r="DW9" s="530"/>
      <c r="DX9" s="530"/>
      <c r="DY9" s="530"/>
      <c r="DZ9" s="530"/>
      <c r="EA9" s="530"/>
      <c r="EB9" s="530"/>
      <c r="EC9" s="530"/>
      <c r="ED9" s="530"/>
      <c r="EE9" s="530"/>
      <c r="EF9" s="530"/>
      <c r="EG9" s="530"/>
      <c r="EH9" s="530"/>
      <c r="EI9" s="530"/>
      <c r="EJ9" s="530"/>
      <c r="EK9" s="530"/>
      <c r="EL9" s="530"/>
      <c r="EM9" s="530"/>
      <c r="EN9" s="530"/>
      <c r="EO9" s="530"/>
      <c r="EP9" s="530"/>
      <c r="EQ9" s="530"/>
      <c r="ER9" s="530"/>
      <c r="ES9" s="530"/>
      <c r="ET9" s="530"/>
      <c r="EU9" s="530"/>
      <c r="EV9" s="530"/>
      <c r="EW9" s="530"/>
      <c r="EX9" s="530"/>
      <c r="EY9" s="530"/>
      <c r="EZ9" s="530"/>
      <c r="FA9" s="530"/>
      <c r="FB9" s="530"/>
      <c r="FC9" s="530"/>
      <c r="FD9" s="530"/>
      <c r="FE9" s="530"/>
      <c r="FF9" s="530"/>
      <c r="FG9" s="530"/>
      <c r="FH9" s="530"/>
      <c r="FI9" s="530"/>
      <c r="FJ9" s="530"/>
      <c r="FK9" s="530"/>
      <c r="FL9" s="530"/>
      <c r="FM9" s="530"/>
      <c r="FN9" s="530"/>
      <c r="FO9" s="530"/>
      <c r="FP9" s="530"/>
      <c r="FQ9" s="530"/>
      <c r="FR9" s="530"/>
      <c r="FS9" s="530"/>
      <c r="FT9" s="530"/>
      <c r="FU9" s="530"/>
      <c r="FV9" s="530"/>
      <c r="FW9" s="530"/>
      <c r="FX9" s="530"/>
      <c r="FY9" s="530"/>
      <c r="FZ9" s="530"/>
      <c r="GA9" s="530"/>
      <c r="GB9" s="530"/>
      <c r="GC9" s="530"/>
      <c r="GD9" s="530"/>
      <c r="GE9" s="530"/>
      <c r="GF9" s="530"/>
      <c r="GG9" s="530"/>
      <c r="GH9" s="530"/>
      <c r="GI9" s="530"/>
      <c r="GJ9" s="530"/>
      <c r="GK9" s="530"/>
      <c r="GL9" s="530"/>
      <c r="GM9" s="530"/>
      <c r="GN9" s="530"/>
      <c r="GO9" s="530"/>
      <c r="GP9" s="530"/>
      <c r="GQ9" s="530"/>
      <c r="GR9" s="530"/>
      <c r="GS9" s="530"/>
      <c r="GT9" s="530"/>
      <c r="GU9" s="530"/>
      <c r="GV9" s="530"/>
      <c r="GW9" s="530"/>
      <c r="GX9" s="530"/>
      <c r="GY9" s="530"/>
      <c r="GZ9" s="530"/>
      <c r="HA9" s="530"/>
      <c r="HB9" s="530"/>
      <c r="HC9" s="530"/>
      <c r="HD9" s="530"/>
      <c r="HE9" s="530"/>
      <c r="HF9" s="530"/>
      <c r="HG9" s="530"/>
      <c r="HH9" s="530"/>
      <c r="HI9" s="530"/>
      <c r="HJ9" s="530"/>
      <c r="HK9" s="530"/>
      <c r="HL9" s="530"/>
      <c r="HM9" s="530"/>
      <c r="HN9" s="530"/>
      <c r="HO9" s="530"/>
      <c r="HP9" s="530"/>
      <c r="HQ9" s="530"/>
      <c r="HR9" s="530"/>
      <c r="HS9" s="530"/>
      <c r="HT9" s="530"/>
      <c r="HU9" s="530"/>
      <c r="HV9" s="530"/>
      <c r="HW9" s="530"/>
      <c r="HX9" s="530"/>
      <c r="HY9" s="530"/>
      <c r="HZ9" s="530"/>
      <c r="IA9" s="530"/>
      <c r="IB9" s="530"/>
      <c r="IC9" s="530"/>
      <c r="ID9" s="530"/>
      <c r="IE9" s="530"/>
      <c r="IF9" s="530"/>
      <c r="IG9" s="530"/>
      <c r="IH9" s="530"/>
      <c r="II9" s="530"/>
      <c r="IJ9" s="530"/>
      <c r="IK9" s="530"/>
      <c r="IL9" s="530"/>
      <c r="IM9" s="530"/>
      <c r="IN9" s="530"/>
      <c r="IO9" s="530"/>
      <c r="IP9" s="530"/>
      <c r="IQ9" s="530"/>
      <c r="IR9" s="530"/>
      <c r="IS9" s="530"/>
      <c r="IT9" s="530"/>
    </row>
    <row r="10" spans="1:254" ht="11.1" customHeight="1" x14ac:dyDescent="0.2">
      <c r="A10" s="552" t="s">
        <v>1430</v>
      </c>
      <c r="B10" s="553">
        <f t="shared" si="0"/>
        <v>73140</v>
      </c>
      <c r="C10" s="554"/>
      <c r="D10" s="555"/>
      <c r="E10" s="553">
        <v>6095</v>
      </c>
      <c r="F10" s="556"/>
      <c r="G10" s="556"/>
      <c r="H10" s="552">
        <f t="shared" si="1"/>
        <v>0</v>
      </c>
      <c r="I10" s="552" t="s">
        <v>1430</v>
      </c>
      <c r="J10" s="553">
        <f t="shared" si="2"/>
        <v>73140</v>
      </c>
      <c r="K10" s="554"/>
      <c r="L10" s="555"/>
      <c r="M10" s="553">
        <v>6095</v>
      </c>
      <c r="N10" s="556"/>
      <c r="O10" s="556"/>
      <c r="P10" s="545"/>
      <c r="Q10" s="546"/>
      <c r="R10" s="546"/>
      <c r="S10" s="530"/>
      <c r="T10" s="530"/>
      <c r="U10" s="545"/>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0"/>
      <c r="CK10" s="530"/>
      <c r="CL10" s="530"/>
      <c r="CM10" s="530"/>
      <c r="CN10" s="530"/>
      <c r="CO10" s="530"/>
      <c r="CP10" s="530"/>
      <c r="CQ10" s="530"/>
      <c r="CR10" s="530"/>
      <c r="CS10" s="530"/>
      <c r="CT10" s="530"/>
      <c r="CU10" s="530"/>
      <c r="CV10" s="530"/>
      <c r="CW10" s="530"/>
      <c r="CX10" s="530"/>
      <c r="CY10" s="530"/>
      <c r="CZ10" s="530"/>
      <c r="DA10" s="530"/>
      <c r="DB10" s="530"/>
      <c r="DC10" s="530"/>
      <c r="DD10" s="530"/>
      <c r="DE10" s="530"/>
      <c r="DF10" s="530"/>
      <c r="DG10" s="530"/>
      <c r="DH10" s="530"/>
      <c r="DI10" s="530"/>
      <c r="DJ10" s="530"/>
      <c r="DK10" s="530"/>
      <c r="DL10" s="530"/>
      <c r="DM10" s="530"/>
      <c r="DN10" s="530"/>
      <c r="DO10" s="530"/>
      <c r="DP10" s="530"/>
      <c r="DQ10" s="530"/>
      <c r="DR10" s="530"/>
      <c r="DS10" s="530"/>
      <c r="DT10" s="530"/>
      <c r="DU10" s="530"/>
      <c r="DV10" s="530"/>
      <c r="DW10" s="530"/>
      <c r="DX10" s="530"/>
      <c r="DY10" s="530"/>
      <c r="DZ10" s="530"/>
      <c r="EA10" s="530"/>
      <c r="EB10" s="530"/>
      <c r="EC10" s="530"/>
      <c r="ED10" s="530"/>
      <c r="EE10" s="530"/>
      <c r="EF10" s="530"/>
      <c r="EG10" s="530"/>
      <c r="EH10" s="530"/>
      <c r="EI10" s="530"/>
      <c r="EJ10" s="530"/>
      <c r="EK10" s="530"/>
      <c r="EL10" s="530"/>
      <c r="EM10" s="530"/>
      <c r="EN10" s="530"/>
      <c r="EO10" s="530"/>
      <c r="EP10" s="530"/>
      <c r="EQ10" s="530"/>
      <c r="ER10" s="530"/>
      <c r="ES10" s="530"/>
      <c r="ET10" s="530"/>
      <c r="EU10" s="530"/>
      <c r="EV10" s="530"/>
      <c r="EW10" s="530"/>
      <c r="EX10" s="530"/>
      <c r="EY10" s="530"/>
      <c r="EZ10" s="530"/>
      <c r="FA10" s="530"/>
      <c r="FB10" s="530"/>
      <c r="FC10" s="530"/>
      <c r="FD10" s="530"/>
      <c r="FE10" s="530"/>
      <c r="FF10" s="530"/>
      <c r="FG10" s="530"/>
      <c r="FH10" s="530"/>
      <c r="FI10" s="530"/>
      <c r="FJ10" s="530"/>
      <c r="FK10" s="530"/>
      <c r="FL10" s="530"/>
      <c r="FM10" s="530"/>
      <c r="FN10" s="530"/>
      <c r="FO10" s="530"/>
      <c r="FP10" s="530"/>
      <c r="FQ10" s="530"/>
      <c r="FR10" s="530"/>
      <c r="FS10" s="530"/>
      <c r="FT10" s="530"/>
      <c r="FU10" s="530"/>
      <c r="FV10" s="530"/>
      <c r="FW10" s="530"/>
      <c r="FX10" s="530"/>
      <c r="FY10" s="530"/>
      <c r="FZ10" s="530"/>
      <c r="GA10" s="530"/>
      <c r="GB10" s="530"/>
      <c r="GC10" s="530"/>
      <c r="GD10" s="530"/>
      <c r="GE10" s="530"/>
      <c r="GF10" s="530"/>
      <c r="GG10" s="530"/>
      <c r="GH10" s="530"/>
      <c r="GI10" s="530"/>
      <c r="GJ10" s="530"/>
      <c r="GK10" s="530"/>
      <c r="GL10" s="530"/>
      <c r="GM10" s="530"/>
      <c r="GN10" s="530"/>
      <c r="GO10" s="530"/>
      <c r="GP10" s="530"/>
      <c r="GQ10" s="530"/>
      <c r="GR10" s="530"/>
      <c r="GS10" s="530"/>
      <c r="GT10" s="530"/>
      <c r="GU10" s="530"/>
      <c r="GV10" s="530"/>
      <c r="GW10" s="530"/>
      <c r="GX10" s="530"/>
      <c r="GY10" s="530"/>
      <c r="GZ10" s="530"/>
      <c r="HA10" s="530"/>
      <c r="HB10" s="530"/>
      <c r="HC10" s="530"/>
      <c r="HD10" s="530"/>
      <c r="HE10" s="530"/>
      <c r="HF10" s="530"/>
      <c r="HG10" s="530"/>
      <c r="HH10" s="530"/>
      <c r="HI10" s="530"/>
      <c r="HJ10" s="530"/>
      <c r="HK10" s="530"/>
      <c r="HL10" s="530"/>
      <c r="HM10" s="530"/>
      <c r="HN10" s="530"/>
      <c r="HO10" s="530"/>
      <c r="HP10" s="530"/>
      <c r="HQ10" s="530"/>
      <c r="HR10" s="530"/>
      <c r="HS10" s="530"/>
      <c r="HT10" s="530"/>
      <c r="HU10" s="530"/>
      <c r="HV10" s="530"/>
      <c r="HW10" s="530"/>
      <c r="HX10" s="530"/>
      <c r="HY10" s="530"/>
      <c r="HZ10" s="530"/>
      <c r="IA10" s="530"/>
      <c r="IB10" s="530"/>
      <c r="IC10" s="530"/>
      <c r="ID10" s="530"/>
      <c r="IE10" s="530"/>
      <c r="IF10" s="530"/>
      <c r="IG10" s="530"/>
      <c r="IH10" s="530"/>
      <c r="II10" s="530"/>
      <c r="IJ10" s="530"/>
      <c r="IK10" s="530"/>
      <c r="IL10" s="530"/>
      <c r="IM10" s="530"/>
      <c r="IN10" s="530"/>
      <c r="IO10" s="530"/>
      <c r="IP10" s="530"/>
      <c r="IQ10" s="530"/>
      <c r="IR10" s="530"/>
      <c r="IS10" s="530"/>
      <c r="IT10" s="530"/>
    </row>
    <row r="11" spans="1:254" ht="11.1" customHeight="1" x14ac:dyDescent="0.2">
      <c r="A11" s="547" t="s">
        <v>1947</v>
      </c>
      <c r="B11" s="548">
        <f t="shared" si="0"/>
        <v>71400</v>
      </c>
      <c r="C11" s="549" t="s">
        <v>1948</v>
      </c>
      <c r="D11" s="550" t="s">
        <v>1949</v>
      </c>
      <c r="E11" s="548">
        <v>5950</v>
      </c>
      <c r="F11" s="551" t="s">
        <v>1948</v>
      </c>
      <c r="G11" s="551" t="s">
        <v>1949</v>
      </c>
      <c r="H11" s="547">
        <f t="shared" si="1"/>
        <v>0</v>
      </c>
      <c r="I11" s="547" t="s">
        <v>1947</v>
      </c>
      <c r="J11" s="548">
        <f t="shared" si="2"/>
        <v>71400</v>
      </c>
      <c r="K11" s="549" t="s">
        <v>1948</v>
      </c>
      <c r="L11" s="550" t="s">
        <v>1949</v>
      </c>
      <c r="M11" s="548">
        <v>5950</v>
      </c>
      <c r="N11" s="551" t="s">
        <v>1948</v>
      </c>
      <c r="O11" s="551" t="s">
        <v>1949</v>
      </c>
      <c r="P11" s="545"/>
      <c r="Q11" s="546"/>
      <c r="R11" s="546"/>
      <c r="S11" s="530"/>
      <c r="T11" s="530"/>
      <c r="U11" s="545"/>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0"/>
      <c r="AY11" s="530"/>
      <c r="AZ11" s="530"/>
      <c r="BA11" s="530"/>
      <c r="BB11" s="530"/>
      <c r="BC11" s="530"/>
      <c r="BD11" s="530"/>
      <c r="BE11" s="530"/>
      <c r="BF11" s="530"/>
      <c r="BG11" s="530"/>
      <c r="BH11" s="530"/>
      <c r="BI11" s="530"/>
      <c r="BJ11" s="530"/>
      <c r="BK11" s="530"/>
      <c r="BL11" s="530"/>
      <c r="BM11" s="530"/>
      <c r="BN11" s="530"/>
      <c r="BO11" s="530"/>
      <c r="BP11" s="530"/>
      <c r="BQ11" s="530"/>
      <c r="BR11" s="530"/>
      <c r="BS11" s="530"/>
      <c r="BT11" s="530"/>
      <c r="BU11" s="530"/>
      <c r="BV11" s="530"/>
      <c r="BW11" s="530"/>
      <c r="BX11" s="530"/>
      <c r="BY11" s="530"/>
      <c r="BZ11" s="530"/>
      <c r="CA11" s="530"/>
      <c r="CB11" s="530"/>
      <c r="CC11" s="530"/>
      <c r="CD11" s="530"/>
      <c r="CE11" s="530"/>
      <c r="CF11" s="530"/>
      <c r="CG11" s="530"/>
      <c r="CH11" s="530"/>
      <c r="CI11" s="530"/>
      <c r="CJ11" s="530"/>
      <c r="CK11" s="530"/>
      <c r="CL11" s="530"/>
      <c r="CM11" s="530"/>
      <c r="CN11" s="530"/>
      <c r="CO11" s="530"/>
      <c r="CP11" s="530"/>
      <c r="CQ11" s="530"/>
      <c r="CR11" s="530"/>
      <c r="CS11" s="530"/>
      <c r="CT11" s="530"/>
      <c r="CU11" s="530"/>
      <c r="CV11" s="530"/>
      <c r="CW11" s="530"/>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530"/>
      <c r="DT11" s="530"/>
      <c r="DU11" s="530"/>
      <c r="DV11" s="530"/>
      <c r="DW11" s="530"/>
      <c r="DX11" s="530"/>
      <c r="DY11" s="530"/>
      <c r="DZ11" s="530"/>
      <c r="EA11" s="530"/>
      <c r="EB11" s="530"/>
      <c r="EC11" s="530"/>
      <c r="ED11" s="530"/>
      <c r="EE11" s="530"/>
      <c r="EF11" s="530"/>
      <c r="EG11" s="530"/>
      <c r="EH11" s="530"/>
      <c r="EI11" s="530"/>
      <c r="EJ11" s="530"/>
      <c r="EK11" s="530"/>
      <c r="EL11" s="530"/>
      <c r="EM11" s="530"/>
      <c r="EN11" s="530"/>
      <c r="EO11" s="530"/>
      <c r="EP11" s="530"/>
      <c r="EQ11" s="530"/>
      <c r="ER11" s="530"/>
      <c r="ES11" s="530"/>
      <c r="ET11" s="530"/>
      <c r="EU11" s="530"/>
      <c r="EV11" s="530"/>
      <c r="EW11" s="530"/>
      <c r="EX11" s="530"/>
      <c r="EY11" s="530"/>
      <c r="EZ11" s="530"/>
      <c r="FA11" s="530"/>
      <c r="FB11" s="530"/>
      <c r="FC11" s="530"/>
      <c r="FD11" s="530"/>
      <c r="FE11" s="530"/>
      <c r="FF11" s="530"/>
      <c r="FG11" s="530"/>
      <c r="FH11" s="530"/>
      <c r="FI11" s="530"/>
      <c r="FJ11" s="530"/>
      <c r="FK11" s="530"/>
      <c r="FL11" s="530"/>
      <c r="FM11" s="530"/>
      <c r="FN11" s="530"/>
      <c r="FO11" s="530"/>
      <c r="FP11" s="530"/>
      <c r="FQ11" s="530"/>
      <c r="FR11" s="530"/>
      <c r="FS11" s="530"/>
      <c r="FT11" s="530"/>
      <c r="FU11" s="530"/>
      <c r="FV11" s="530"/>
      <c r="FW11" s="530"/>
      <c r="FX11" s="530"/>
      <c r="FY11" s="530"/>
      <c r="FZ11" s="530"/>
      <c r="GA11" s="530"/>
      <c r="GB11" s="530"/>
      <c r="GC11" s="530"/>
      <c r="GD11" s="530"/>
      <c r="GE11" s="530"/>
      <c r="GF11" s="530"/>
      <c r="GG11" s="530"/>
      <c r="GH11" s="530"/>
      <c r="GI11" s="530"/>
      <c r="GJ11" s="530"/>
      <c r="GK11" s="530"/>
      <c r="GL11" s="530"/>
      <c r="GM11" s="530"/>
      <c r="GN11" s="530"/>
      <c r="GO11" s="530"/>
      <c r="GP11" s="530"/>
      <c r="GQ11" s="530"/>
      <c r="GR11" s="530"/>
      <c r="GS11" s="530"/>
      <c r="GT11" s="530"/>
      <c r="GU11" s="530"/>
      <c r="GV11" s="530"/>
      <c r="GW11" s="530"/>
      <c r="GX11" s="530"/>
      <c r="GY11" s="530"/>
      <c r="GZ11" s="530"/>
      <c r="HA11" s="530"/>
      <c r="HB11" s="530"/>
      <c r="HC11" s="530"/>
      <c r="HD11" s="530"/>
      <c r="HE11" s="530"/>
      <c r="HF11" s="530"/>
      <c r="HG11" s="530"/>
      <c r="HH11" s="530"/>
      <c r="HI11" s="530"/>
      <c r="HJ11" s="530"/>
      <c r="HK11" s="530"/>
      <c r="HL11" s="530"/>
      <c r="HM11" s="530"/>
      <c r="HN11" s="530"/>
      <c r="HO11" s="530"/>
      <c r="HP11" s="530"/>
      <c r="HQ11" s="530"/>
      <c r="HR11" s="530"/>
      <c r="HS11" s="530"/>
      <c r="HT11" s="530"/>
      <c r="HU11" s="530"/>
      <c r="HV11" s="530"/>
      <c r="HW11" s="530"/>
      <c r="HX11" s="530"/>
      <c r="HY11" s="530"/>
      <c r="HZ11" s="530"/>
      <c r="IA11" s="530"/>
      <c r="IB11" s="530"/>
      <c r="IC11" s="530"/>
      <c r="ID11" s="530"/>
      <c r="IE11" s="530"/>
      <c r="IF11" s="530"/>
      <c r="IG11" s="530"/>
      <c r="IH11" s="530"/>
      <c r="II11" s="530"/>
      <c r="IJ11" s="530"/>
      <c r="IK11" s="530"/>
      <c r="IL11" s="530"/>
      <c r="IM11" s="530"/>
      <c r="IN11" s="530"/>
      <c r="IO11" s="530"/>
      <c r="IP11" s="530"/>
      <c r="IQ11" s="530"/>
      <c r="IR11" s="530"/>
      <c r="IS11" s="530"/>
      <c r="IT11" s="530"/>
    </row>
    <row r="12" spans="1:254" ht="11.1" customHeight="1" x14ac:dyDescent="0.2">
      <c r="A12" s="552" t="s">
        <v>1950</v>
      </c>
      <c r="B12" s="553">
        <f t="shared" si="0"/>
        <v>70092</v>
      </c>
      <c r="C12" s="554"/>
      <c r="D12" s="555"/>
      <c r="E12" s="553">
        <v>5841</v>
      </c>
      <c r="F12" s="556"/>
      <c r="G12" s="556"/>
      <c r="H12" s="552">
        <f t="shared" si="1"/>
        <v>0</v>
      </c>
      <c r="I12" s="552" t="s">
        <v>1950</v>
      </c>
      <c r="J12" s="553">
        <f t="shared" si="2"/>
        <v>70092</v>
      </c>
      <c r="K12" s="554"/>
      <c r="L12" s="555"/>
      <c r="M12" s="553">
        <v>5841</v>
      </c>
      <c r="N12" s="556"/>
      <c r="O12" s="556"/>
      <c r="P12" s="545"/>
      <c r="Q12" s="546"/>
      <c r="R12" s="546"/>
      <c r="S12" s="530"/>
      <c r="T12" s="530"/>
      <c r="U12" s="545"/>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0"/>
      <c r="EI12" s="530"/>
      <c r="EJ12" s="530"/>
      <c r="EK12" s="530"/>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530"/>
      <c r="FI12" s="530"/>
      <c r="FJ12" s="530"/>
      <c r="FK12" s="530"/>
      <c r="FL12" s="530"/>
      <c r="FM12" s="530"/>
      <c r="FN12" s="530"/>
      <c r="FO12" s="530"/>
      <c r="FP12" s="530"/>
      <c r="FQ12" s="530"/>
      <c r="FR12" s="530"/>
      <c r="FS12" s="530"/>
      <c r="FT12" s="530"/>
      <c r="FU12" s="530"/>
      <c r="FV12" s="530"/>
      <c r="FW12" s="530"/>
      <c r="FX12" s="530"/>
      <c r="FY12" s="530"/>
      <c r="FZ12" s="530"/>
      <c r="GA12" s="530"/>
      <c r="GB12" s="530"/>
      <c r="GC12" s="530"/>
      <c r="GD12" s="530"/>
      <c r="GE12" s="530"/>
      <c r="GF12" s="530"/>
      <c r="GG12" s="530"/>
      <c r="GH12" s="530"/>
      <c r="GI12" s="530"/>
      <c r="GJ12" s="530"/>
      <c r="GK12" s="530"/>
      <c r="GL12" s="530"/>
      <c r="GM12" s="530"/>
      <c r="GN12" s="530"/>
      <c r="GO12" s="530"/>
      <c r="GP12" s="530"/>
      <c r="GQ12" s="530"/>
      <c r="GR12" s="530"/>
      <c r="GS12" s="530"/>
      <c r="GT12" s="530"/>
      <c r="GU12" s="530"/>
      <c r="GV12" s="530"/>
      <c r="GW12" s="530"/>
      <c r="GX12" s="530"/>
      <c r="GY12" s="530"/>
      <c r="GZ12" s="530"/>
      <c r="HA12" s="530"/>
      <c r="HB12" s="530"/>
      <c r="HC12" s="530"/>
      <c r="HD12" s="530"/>
      <c r="HE12" s="530"/>
      <c r="HF12" s="530"/>
      <c r="HG12" s="530"/>
      <c r="HH12" s="530"/>
      <c r="HI12" s="530"/>
      <c r="HJ12" s="530"/>
      <c r="HK12" s="530"/>
      <c r="HL12" s="530"/>
      <c r="HM12" s="530"/>
      <c r="HN12" s="530"/>
      <c r="HO12" s="530"/>
      <c r="HP12" s="530"/>
      <c r="HQ12" s="530"/>
      <c r="HR12" s="530"/>
      <c r="HS12" s="530"/>
      <c r="HT12" s="530"/>
      <c r="HU12" s="530"/>
      <c r="HV12" s="530"/>
      <c r="HW12" s="530"/>
      <c r="HX12" s="530"/>
      <c r="HY12" s="530"/>
      <c r="HZ12" s="530"/>
      <c r="IA12" s="530"/>
      <c r="IB12" s="530"/>
      <c r="IC12" s="530"/>
      <c r="ID12" s="530"/>
      <c r="IE12" s="530"/>
      <c r="IF12" s="530"/>
      <c r="IG12" s="530"/>
      <c r="IH12" s="530"/>
      <c r="II12" s="530"/>
      <c r="IJ12" s="530"/>
      <c r="IK12" s="530"/>
      <c r="IL12" s="530"/>
      <c r="IM12" s="530"/>
      <c r="IN12" s="530"/>
      <c r="IO12" s="530"/>
      <c r="IP12" s="530"/>
      <c r="IQ12" s="530"/>
      <c r="IR12" s="530"/>
      <c r="IS12" s="530"/>
      <c r="IT12" s="530"/>
    </row>
    <row r="13" spans="1:254" ht="11.1" customHeight="1" x14ac:dyDescent="0.2">
      <c r="A13" s="547" t="s">
        <v>1951</v>
      </c>
      <c r="B13" s="548">
        <f t="shared" si="0"/>
        <v>68472</v>
      </c>
      <c r="C13" s="549"/>
      <c r="D13" s="550"/>
      <c r="E13" s="548">
        <v>5706</v>
      </c>
      <c r="F13" s="551"/>
      <c r="G13" s="551"/>
      <c r="H13" s="547">
        <f t="shared" si="1"/>
        <v>0</v>
      </c>
      <c r="I13" s="547" t="s">
        <v>1951</v>
      </c>
      <c r="J13" s="548">
        <f t="shared" si="2"/>
        <v>68472</v>
      </c>
      <c r="K13" s="549"/>
      <c r="L13" s="550"/>
      <c r="M13" s="548">
        <v>5706</v>
      </c>
      <c r="N13" s="551"/>
      <c r="O13" s="551"/>
      <c r="P13" s="545"/>
      <c r="Q13" s="546"/>
      <c r="R13" s="546"/>
      <c r="S13" s="530"/>
      <c r="T13" s="530"/>
      <c r="U13" s="545"/>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row>
    <row r="14" spans="1:254" ht="11.1" customHeight="1" x14ac:dyDescent="0.2">
      <c r="A14" s="552" t="s">
        <v>1952</v>
      </c>
      <c r="B14" s="553">
        <f t="shared" si="0"/>
        <v>66852</v>
      </c>
      <c r="C14" s="554"/>
      <c r="D14" s="555"/>
      <c r="E14" s="553">
        <v>5571</v>
      </c>
      <c r="F14" s="556"/>
      <c r="G14" s="556"/>
      <c r="H14" s="552">
        <f t="shared" si="1"/>
        <v>0</v>
      </c>
      <c r="I14" s="552" t="s">
        <v>1952</v>
      </c>
      <c r="J14" s="553">
        <f t="shared" si="2"/>
        <v>66852</v>
      </c>
      <c r="K14" s="554"/>
      <c r="L14" s="555"/>
      <c r="M14" s="553">
        <v>5571</v>
      </c>
      <c r="N14" s="556"/>
      <c r="O14" s="556"/>
      <c r="P14" s="545"/>
      <c r="Q14" s="546"/>
      <c r="R14" s="546"/>
      <c r="S14" s="530"/>
      <c r="T14" s="530"/>
      <c r="U14" s="545"/>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0"/>
      <c r="AV14" s="530"/>
      <c r="AW14" s="530"/>
      <c r="AX14" s="530"/>
      <c r="AY14" s="530"/>
      <c r="AZ14" s="530"/>
      <c r="BA14" s="530"/>
      <c r="BB14" s="530"/>
      <c r="BC14" s="530"/>
      <c r="BD14" s="530"/>
      <c r="BE14" s="530"/>
      <c r="BF14" s="530"/>
      <c r="BG14" s="530"/>
      <c r="BH14" s="530"/>
      <c r="BI14" s="530"/>
      <c r="BJ14" s="530"/>
      <c r="BK14" s="530"/>
      <c r="BL14" s="530"/>
      <c r="BM14" s="530"/>
      <c r="BN14" s="530"/>
      <c r="BO14" s="530"/>
      <c r="BP14" s="530"/>
      <c r="BQ14" s="530"/>
      <c r="BR14" s="530"/>
      <c r="BS14" s="530"/>
      <c r="BT14" s="530"/>
      <c r="BU14" s="530"/>
      <c r="BV14" s="530"/>
      <c r="BW14" s="530"/>
      <c r="BX14" s="530"/>
      <c r="BY14" s="530"/>
      <c r="BZ14" s="530"/>
      <c r="CA14" s="530"/>
      <c r="CB14" s="530"/>
      <c r="CC14" s="530"/>
      <c r="CD14" s="530"/>
      <c r="CE14" s="530"/>
      <c r="CF14" s="530"/>
      <c r="CG14" s="530"/>
      <c r="CH14" s="530"/>
      <c r="CI14" s="530"/>
      <c r="CJ14" s="530"/>
      <c r="CK14" s="530"/>
      <c r="CL14" s="530"/>
      <c r="CM14" s="530"/>
      <c r="CN14" s="530"/>
      <c r="CO14" s="530"/>
      <c r="CP14" s="530"/>
      <c r="CQ14" s="530"/>
      <c r="CR14" s="530"/>
      <c r="CS14" s="530"/>
      <c r="CT14" s="530"/>
      <c r="CU14" s="530"/>
      <c r="CV14" s="530"/>
      <c r="CW14" s="530"/>
      <c r="CX14" s="530"/>
      <c r="CY14" s="530"/>
      <c r="CZ14" s="530"/>
      <c r="DA14" s="530"/>
      <c r="DB14" s="530"/>
      <c r="DC14" s="530"/>
      <c r="DD14" s="530"/>
      <c r="DE14" s="530"/>
      <c r="DF14" s="530"/>
      <c r="DG14" s="530"/>
      <c r="DH14" s="530"/>
      <c r="DI14" s="530"/>
      <c r="DJ14" s="530"/>
      <c r="DK14" s="530"/>
      <c r="DL14" s="530"/>
      <c r="DM14" s="530"/>
      <c r="DN14" s="530"/>
      <c r="DO14" s="530"/>
      <c r="DP14" s="530"/>
      <c r="DQ14" s="530"/>
      <c r="DR14" s="530"/>
      <c r="DS14" s="530"/>
      <c r="DT14" s="530"/>
      <c r="DU14" s="530"/>
      <c r="DV14" s="530"/>
      <c r="DW14" s="530"/>
      <c r="DX14" s="530"/>
      <c r="DY14" s="530"/>
      <c r="DZ14" s="530"/>
      <c r="EA14" s="530"/>
      <c r="EB14" s="530"/>
      <c r="EC14" s="530"/>
      <c r="ED14" s="530"/>
      <c r="EE14" s="530"/>
      <c r="EF14" s="530"/>
      <c r="EG14" s="530"/>
      <c r="EH14" s="530"/>
      <c r="EI14" s="530"/>
      <c r="EJ14" s="530"/>
      <c r="EK14" s="530"/>
      <c r="EL14" s="530"/>
      <c r="EM14" s="530"/>
      <c r="EN14" s="530"/>
      <c r="EO14" s="530"/>
      <c r="EP14" s="530"/>
      <c r="EQ14" s="530"/>
      <c r="ER14" s="530"/>
      <c r="ES14" s="530"/>
      <c r="ET14" s="530"/>
      <c r="EU14" s="530"/>
      <c r="EV14" s="530"/>
      <c r="EW14" s="530"/>
      <c r="EX14" s="530"/>
      <c r="EY14" s="530"/>
      <c r="EZ14" s="530"/>
      <c r="FA14" s="530"/>
      <c r="FB14" s="530"/>
      <c r="FC14" s="530"/>
      <c r="FD14" s="530"/>
      <c r="FE14" s="530"/>
      <c r="FF14" s="530"/>
      <c r="FG14" s="530"/>
      <c r="FH14" s="530"/>
      <c r="FI14" s="530"/>
      <c r="FJ14" s="530"/>
      <c r="FK14" s="530"/>
      <c r="FL14" s="530"/>
      <c r="FM14" s="530"/>
      <c r="FN14" s="530"/>
      <c r="FO14" s="530"/>
      <c r="FP14" s="530"/>
      <c r="FQ14" s="530"/>
      <c r="FR14" s="530"/>
      <c r="FS14" s="530"/>
      <c r="FT14" s="530"/>
      <c r="FU14" s="530"/>
      <c r="FV14" s="530"/>
      <c r="FW14" s="530"/>
      <c r="FX14" s="530"/>
      <c r="FY14" s="530"/>
      <c r="FZ14" s="530"/>
      <c r="GA14" s="530"/>
      <c r="GB14" s="530"/>
      <c r="GC14" s="530"/>
      <c r="GD14" s="530"/>
      <c r="GE14" s="530"/>
      <c r="GF14" s="530"/>
      <c r="GG14" s="530"/>
      <c r="GH14" s="530"/>
      <c r="GI14" s="530"/>
      <c r="GJ14" s="530"/>
      <c r="GK14" s="530"/>
      <c r="GL14" s="530"/>
      <c r="GM14" s="530"/>
      <c r="GN14" s="530"/>
      <c r="GO14" s="530"/>
      <c r="GP14" s="530"/>
      <c r="GQ14" s="530"/>
      <c r="GR14" s="530"/>
      <c r="GS14" s="530"/>
      <c r="GT14" s="530"/>
      <c r="GU14" s="530"/>
      <c r="GV14" s="530"/>
      <c r="GW14" s="530"/>
      <c r="GX14" s="530"/>
      <c r="GY14" s="530"/>
      <c r="GZ14" s="530"/>
      <c r="HA14" s="530"/>
      <c r="HB14" s="530"/>
      <c r="HC14" s="530"/>
      <c r="HD14" s="530"/>
      <c r="HE14" s="530"/>
      <c r="HF14" s="530"/>
      <c r="HG14" s="530"/>
      <c r="HH14" s="530"/>
      <c r="HI14" s="530"/>
      <c r="HJ14" s="530"/>
      <c r="HK14" s="530"/>
      <c r="HL14" s="530"/>
      <c r="HM14" s="530"/>
      <c r="HN14" s="530"/>
      <c r="HO14" s="530"/>
      <c r="HP14" s="530"/>
      <c r="HQ14" s="530"/>
      <c r="HR14" s="530"/>
      <c r="HS14" s="530"/>
      <c r="HT14" s="530"/>
      <c r="HU14" s="530"/>
      <c r="HV14" s="530"/>
      <c r="HW14" s="530"/>
      <c r="HX14" s="530"/>
      <c r="HY14" s="530"/>
      <c r="HZ14" s="530"/>
      <c r="IA14" s="530"/>
      <c r="IB14" s="530"/>
      <c r="IC14" s="530"/>
      <c r="ID14" s="530"/>
      <c r="IE14" s="530"/>
      <c r="IF14" s="530"/>
      <c r="IG14" s="530"/>
      <c r="IH14" s="530"/>
      <c r="II14" s="530"/>
      <c r="IJ14" s="530"/>
      <c r="IK14" s="530"/>
      <c r="IL14" s="530"/>
      <c r="IM14" s="530"/>
      <c r="IN14" s="530"/>
      <c r="IO14" s="530"/>
      <c r="IP14" s="530"/>
      <c r="IQ14" s="530"/>
      <c r="IR14" s="530"/>
      <c r="IS14" s="530"/>
      <c r="IT14" s="530"/>
    </row>
    <row r="15" spans="1:254" ht="11.1" customHeight="1" x14ac:dyDescent="0.2">
      <c r="A15" s="547" t="s">
        <v>1953</v>
      </c>
      <c r="B15" s="548">
        <f t="shared" si="0"/>
        <v>65232</v>
      </c>
      <c r="C15" s="549" t="s">
        <v>1948</v>
      </c>
      <c r="D15" s="550">
        <f>G15*12</f>
        <v>1620</v>
      </c>
      <c r="E15" s="548">
        <v>5436</v>
      </c>
      <c r="F15" s="551" t="s">
        <v>1948</v>
      </c>
      <c r="G15" s="551">
        <v>135</v>
      </c>
      <c r="H15" s="547">
        <f t="shared" si="1"/>
        <v>0</v>
      </c>
      <c r="I15" s="547" t="s">
        <v>1953</v>
      </c>
      <c r="J15" s="548">
        <f t="shared" si="2"/>
        <v>65232</v>
      </c>
      <c r="K15" s="549" t="s">
        <v>1948</v>
      </c>
      <c r="L15" s="550">
        <f>O15*12</f>
        <v>1620</v>
      </c>
      <c r="M15" s="548">
        <v>5436</v>
      </c>
      <c r="N15" s="551" t="s">
        <v>1948</v>
      </c>
      <c r="O15" s="551">
        <v>135</v>
      </c>
      <c r="P15" s="545"/>
      <c r="Q15" s="546"/>
      <c r="R15" s="546"/>
      <c r="S15" s="530"/>
      <c r="T15" s="530"/>
      <c r="U15" s="545"/>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0"/>
      <c r="AY15" s="530"/>
      <c r="AZ15" s="530"/>
      <c r="BA15" s="530"/>
      <c r="BB15" s="530"/>
      <c r="BC15" s="530"/>
      <c r="BD15" s="530"/>
      <c r="BE15" s="530"/>
      <c r="BF15" s="530"/>
      <c r="BG15" s="530"/>
      <c r="BH15" s="530"/>
      <c r="BI15" s="530"/>
      <c r="BJ15" s="530"/>
      <c r="BK15" s="530"/>
      <c r="BL15" s="530"/>
      <c r="BM15" s="530"/>
      <c r="BN15" s="530"/>
      <c r="BO15" s="530"/>
      <c r="BP15" s="530"/>
      <c r="BQ15" s="530"/>
      <c r="BR15" s="530"/>
      <c r="BS15" s="530"/>
      <c r="BT15" s="530"/>
      <c r="BU15" s="530"/>
      <c r="BV15" s="530"/>
      <c r="BW15" s="530"/>
      <c r="BX15" s="530"/>
      <c r="BY15" s="530"/>
      <c r="BZ15" s="530"/>
      <c r="CA15" s="530"/>
      <c r="CB15" s="530"/>
      <c r="CC15" s="530"/>
      <c r="CD15" s="530"/>
      <c r="CE15" s="530"/>
      <c r="CF15" s="530"/>
      <c r="CG15" s="530"/>
      <c r="CH15" s="530"/>
      <c r="CI15" s="530"/>
      <c r="CJ15" s="530"/>
      <c r="CK15" s="530"/>
      <c r="CL15" s="530"/>
      <c r="CM15" s="530"/>
      <c r="CN15" s="530"/>
      <c r="CO15" s="530"/>
      <c r="CP15" s="530"/>
      <c r="CQ15" s="530"/>
      <c r="CR15" s="530"/>
      <c r="CS15" s="530"/>
      <c r="CT15" s="530"/>
      <c r="CU15" s="530"/>
      <c r="CV15" s="530"/>
      <c r="CW15" s="530"/>
      <c r="CX15" s="530"/>
      <c r="CY15" s="530"/>
      <c r="CZ15" s="530"/>
      <c r="DA15" s="530"/>
      <c r="DB15" s="530"/>
      <c r="DC15" s="530"/>
      <c r="DD15" s="530"/>
      <c r="DE15" s="530"/>
      <c r="DF15" s="530"/>
      <c r="DG15" s="530"/>
      <c r="DH15" s="530"/>
      <c r="DI15" s="530"/>
      <c r="DJ15" s="530"/>
      <c r="DK15" s="530"/>
      <c r="DL15" s="530"/>
      <c r="DM15" s="530"/>
      <c r="DN15" s="530"/>
      <c r="DO15" s="530"/>
      <c r="DP15" s="530"/>
      <c r="DQ15" s="530"/>
      <c r="DR15" s="530"/>
      <c r="DS15" s="530"/>
      <c r="DT15" s="530"/>
      <c r="DU15" s="530"/>
      <c r="DV15" s="530"/>
      <c r="DW15" s="530"/>
      <c r="DX15" s="530"/>
      <c r="DY15" s="530"/>
      <c r="DZ15" s="530"/>
      <c r="EA15" s="530"/>
      <c r="EB15" s="530"/>
      <c r="EC15" s="530"/>
      <c r="ED15" s="530"/>
      <c r="EE15" s="530"/>
      <c r="EF15" s="530"/>
      <c r="EG15" s="530"/>
      <c r="EH15" s="530"/>
      <c r="EI15" s="530"/>
      <c r="EJ15" s="530"/>
      <c r="EK15" s="530"/>
      <c r="EL15" s="530"/>
      <c r="EM15" s="530"/>
      <c r="EN15" s="530"/>
      <c r="EO15" s="530"/>
      <c r="EP15" s="530"/>
      <c r="EQ15" s="530"/>
      <c r="ER15" s="530"/>
      <c r="ES15" s="530"/>
      <c r="ET15" s="530"/>
      <c r="EU15" s="530"/>
      <c r="EV15" s="530"/>
      <c r="EW15" s="530"/>
      <c r="EX15" s="530"/>
      <c r="EY15" s="530"/>
      <c r="EZ15" s="530"/>
      <c r="FA15" s="530"/>
      <c r="FB15" s="530"/>
      <c r="FC15" s="530"/>
      <c r="FD15" s="530"/>
      <c r="FE15" s="530"/>
      <c r="FF15" s="530"/>
      <c r="FG15" s="530"/>
      <c r="FH15" s="530"/>
      <c r="FI15" s="530"/>
      <c r="FJ15" s="530"/>
      <c r="FK15" s="530"/>
      <c r="FL15" s="530"/>
      <c r="FM15" s="530"/>
      <c r="FN15" s="530"/>
      <c r="FO15" s="530"/>
      <c r="FP15" s="530"/>
      <c r="FQ15" s="530"/>
      <c r="FR15" s="530"/>
      <c r="FS15" s="530"/>
      <c r="FT15" s="530"/>
      <c r="FU15" s="530"/>
      <c r="FV15" s="530"/>
      <c r="FW15" s="530"/>
      <c r="FX15" s="530"/>
      <c r="FY15" s="530"/>
      <c r="FZ15" s="530"/>
      <c r="GA15" s="530"/>
      <c r="GB15" s="530"/>
      <c r="GC15" s="530"/>
      <c r="GD15" s="530"/>
      <c r="GE15" s="530"/>
      <c r="GF15" s="530"/>
      <c r="GG15" s="530"/>
      <c r="GH15" s="530"/>
      <c r="GI15" s="530"/>
      <c r="GJ15" s="530"/>
      <c r="GK15" s="530"/>
      <c r="GL15" s="530"/>
      <c r="GM15" s="530"/>
      <c r="GN15" s="530"/>
      <c r="GO15" s="530"/>
      <c r="GP15" s="530"/>
      <c r="GQ15" s="530"/>
      <c r="GR15" s="530"/>
      <c r="GS15" s="530"/>
      <c r="GT15" s="530"/>
      <c r="GU15" s="530"/>
      <c r="GV15" s="530"/>
      <c r="GW15" s="530"/>
      <c r="GX15" s="530"/>
      <c r="GY15" s="530"/>
      <c r="GZ15" s="530"/>
      <c r="HA15" s="530"/>
      <c r="HB15" s="530"/>
      <c r="HC15" s="530"/>
      <c r="HD15" s="530"/>
      <c r="HE15" s="530"/>
      <c r="HF15" s="530"/>
      <c r="HG15" s="530"/>
      <c r="HH15" s="530"/>
      <c r="HI15" s="530"/>
      <c r="HJ15" s="530"/>
      <c r="HK15" s="530"/>
      <c r="HL15" s="530"/>
      <c r="HM15" s="530"/>
      <c r="HN15" s="530"/>
      <c r="HO15" s="530"/>
      <c r="HP15" s="530"/>
      <c r="HQ15" s="530"/>
      <c r="HR15" s="530"/>
      <c r="HS15" s="530"/>
      <c r="HT15" s="530"/>
      <c r="HU15" s="530"/>
      <c r="HV15" s="530"/>
      <c r="HW15" s="530"/>
      <c r="HX15" s="530"/>
      <c r="HY15" s="530"/>
      <c r="HZ15" s="530"/>
      <c r="IA15" s="530"/>
      <c r="IB15" s="530"/>
      <c r="IC15" s="530"/>
      <c r="ID15" s="530"/>
      <c r="IE15" s="530"/>
      <c r="IF15" s="530"/>
      <c r="IG15" s="530"/>
      <c r="IH15" s="530"/>
      <c r="II15" s="530"/>
      <c r="IJ15" s="530"/>
      <c r="IK15" s="530"/>
      <c r="IL15" s="530"/>
      <c r="IM15" s="530"/>
      <c r="IN15" s="530"/>
      <c r="IO15" s="530"/>
      <c r="IP15" s="530"/>
      <c r="IQ15" s="530"/>
      <c r="IR15" s="530"/>
      <c r="IS15" s="530"/>
      <c r="IT15" s="530"/>
    </row>
    <row r="16" spans="1:254" ht="11.1" customHeight="1" x14ac:dyDescent="0.2">
      <c r="A16" s="552" t="s">
        <v>1954</v>
      </c>
      <c r="B16" s="553">
        <f t="shared" si="0"/>
        <v>63648</v>
      </c>
      <c r="C16" s="554"/>
      <c r="D16" s="555"/>
      <c r="E16" s="553">
        <v>5304</v>
      </c>
      <c r="F16" s="556"/>
      <c r="G16" s="556"/>
      <c r="H16" s="552">
        <f t="shared" si="1"/>
        <v>0</v>
      </c>
      <c r="I16" s="552" t="s">
        <v>1954</v>
      </c>
      <c r="J16" s="553">
        <f t="shared" si="2"/>
        <v>63648</v>
      </c>
      <c r="K16" s="554"/>
      <c r="L16" s="555"/>
      <c r="M16" s="553">
        <v>5304</v>
      </c>
      <c r="N16" s="556"/>
      <c r="O16" s="556"/>
      <c r="P16" s="545"/>
      <c r="Q16" s="546"/>
      <c r="R16" s="546"/>
      <c r="S16" s="530"/>
      <c r="T16" s="530"/>
      <c r="U16" s="545"/>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530"/>
      <c r="AT16" s="530"/>
      <c r="AU16" s="530"/>
      <c r="AV16" s="530"/>
      <c r="AW16" s="530"/>
      <c r="AX16" s="530"/>
      <c r="AY16" s="530"/>
      <c r="AZ16" s="530"/>
      <c r="BA16" s="530"/>
      <c r="BB16" s="530"/>
      <c r="BC16" s="530"/>
      <c r="BD16" s="530"/>
      <c r="BE16" s="530"/>
      <c r="BF16" s="530"/>
      <c r="BG16" s="530"/>
      <c r="BH16" s="530"/>
      <c r="BI16" s="530"/>
      <c r="BJ16" s="530"/>
      <c r="BK16" s="530"/>
      <c r="BL16" s="530"/>
      <c r="BM16" s="530"/>
      <c r="BN16" s="530"/>
      <c r="BO16" s="530"/>
      <c r="BP16" s="530"/>
      <c r="BQ16" s="530"/>
      <c r="BR16" s="530"/>
      <c r="BS16" s="530"/>
      <c r="BT16" s="530"/>
      <c r="BU16" s="530"/>
      <c r="BV16" s="530"/>
      <c r="BW16" s="530"/>
      <c r="BX16" s="530"/>
      <c r="BY16" s="530"/>
      <c r="BZ16" s="530"/>
      <c r="CA16" s="530"/>
      <c r="CB16" s="530"/>
      <c r="CC16" s="530"/>
      <c r="CD16" s="530"/>
      <c r="CE16" s="530"/>
      <c r="CF16" s="530"/>
      <c r="CG16" s="530"/>
      <c r="CH16" s="530"/>
      <c r="CI16" s="530"/>
      <c r="CJ16" s="530"/>
      <c r="CK16" s="530"/>
      <c r="CL16" s="530"/>
      <c r="CM16" s="530"/>
      <c r="CN16" s="530"/>
      <c r="CO16" s="530"/>
      <c r="CP16" s="530"/>
      <c r="CQ16" s="530"/>
      <c r="CR16" s="530"/>
      <c r="CS16" s="530"/>
      <c r="CT16" s="530"/>
      <c r="CU16" s="530"/>
      <c r="CV16" s="530"/>
      <c r="CW16" s="530"/>
      <c r="CX16" s="530"/>
      <c r="CY16" s="530"/>
      <c r="CZ16" s="530"/>
      <c r="DA16" s="530"/>
      <c r="DB16" s="530"/>
      <c r="DC16" s="530"/>
      <c r="DD16" s="530"/>
      <c r="DE16" s="530"/>
      <c r="DF16" s="530"/>
      <c r="DG16" s="530"/>
      <c r="DH16" s="530"/>
      <c r="DI16" s="530"/>
      <c r="DJ16" s="530"/>
      <c r="DK16" s="530"/>
      <c r="DL16" s="530"/>
      <c r="DM16" s="530"/>
      <c r="DN16" s="530"/>
      <c r="DO16" s="530"/>
      <c r="DP16" s="530"/>
      <c r="DQ16" s="530"/>
      <c r="DR16" s="530"/>
      <c r="DS16" s="530"/>
      <c r="DT16" s="530"/>
      <c r="DU16" s="530"/>
      <c r="DV16" s="530"/>
      <c r="DW16" s="530"/>
      <c r="DX16" s="530"/>
      <c r="DY16" s="530"/>
      <c r="DZ16" s="530"/>
      <c r="EA16" s="530"/>
      <c r="EB16" s="530"/>
      <c r="EC16" s="530"/>
      <c r="ED16" s="530"/>
      <c r="EE16" s="530"/>
      <c r="EF16" s="530"/>
      <c r="EG16" s="530"/>
      <c r="EH16" s="530"/>
      <c r="EI16" s="530"/>
      <c r="EJ16" s="530"/>
      <c r="EK16" s="530"/>
      <c r="EL16" s="530"/>
      <c r="EM16" s="530"/>
      <c r="EN16" s="530"/>
      <c r="EO16" s="530"/>
      <c r="EP16" s="530"/>
      <c r="EQ16" s="530"/>
      <c r="ER16" s="530"/>
      <c r="ES16" s="530"/>
      <c r="ET16" s="530"/>
      <c r="EU16" s="530"/>
      <c r="EV16" s="530"/>
      <c r="EW16" s="530"/>
      <c r="EX16" s="530"/>
      <c r="EY16" s="530"/>
      <c r="EZ16" s="530"/>
      <c r="FA16" s="530"/>
      <c r="FB16" s="530"/>
      <c r="FC16" s="530"/>
      <c r="FD16" s="530"/>
      <c r="FE16" s="530"/>
      <c r="FF16" s="530"/>
      <c r="FG16" s="530"/>
      <c r="FH16" s="530"/>
      <c r="FI16" s="530"/>
      <c r="FJ16" s="530"/>
      <c r="FK16" s="530"/>
      <c r="FL16" s="530"/>
      <c r="FM16" s="530"/>
      <c r="FN16" s="530"/>
      <c r="FO16" s="530"/>
      <c r="FP16" s="530"/>
      <c r="FQ16" s="530"/>
      <c r="FR16" s="530"/>
      <c r="FS16" s="530"/>
      <c r="FT16" s="530"/>
      <c r="FU16" s="530"/>
      <c r="FV16" s="530"/>
      <c r="FW16" s="530"/>
      <c r="FX16" s="530"/>
      <c r="FY16" s="530"/>
      <c r="FZ16" s="530"/>
      <c r="GA16" s="530"/>
      <c r="GB16" s="530"/>
      <c r="GC16" s="530"/>
      <c r="GD16" s="530"/>
      <c r="GE16" s="530"/>
      <c r="GF16" s="530"/>
      <c r="GG16" s="530"/>
      <c r="GH16" s="530"/>
      <c r="GI16" s="530"/>
      <c r="GJ16" s="530"/>
      <c r="GK16" s="530"/>
      <c r="GL16" s="530"/>
      <c r="GM16" s="530"/>
      <c r="GN16" s="530"/>
      <c r="GO16" s="530"/>
      <c r="GP16" s="530"/>
      <c r="GQ16" s="530"/>
      <c r="GR16" s="530"/>
      <c r="GS16" s="530"/>
      <c r="GT16" s="530"/>
      <c r="GU16" s="530"/>
      <c r="GV16" s="530"/>
      <c r="GW16" s="530"/>
      <c r="GX16" s="530"/>
      <c r="GY16" s="530"/>
      <c r="GZ16" s="530"/>
      <c r="HA16" s="530"/>
      <c r="HB16" s="530"/>
      <c r="HC16" s="530"/>
      <c r="HD16" s="530"/>
      <c r="HE16" s="530"/>
      <c r="HF16" s="530"/>
      <c r="HG16" s="530"/>
      <c r="HH16" s="530"/>
      <c r="HI16" s="530"/>
      <c r="HJ16" s="530"/>
      <c r="HK16" s="530"/>
      <c r="HL16" s="530"/>
      <c r="HM16" s="530"/>
      <c r="HN16" s="530"/>
      <c r="HO16" s="530"/>
      <c r="HP16" s="530"/>
      <c r="HQ16" s="530"/>
      <c r="HR16" s="530"/>
      <c r="HS16" s="530"/>
      <c r="HT16" s="530"/>
      <c r="HU16" s="530"/>
      <c r="HV16" s="530"/>
      <c r="HW16" s="530"/>
      <c r="HX16" s="530"/>
      <c r="HY16" s="530"/>
      <c r="HZ16" s="530"/>
      <c r="IA16" s="530"/>
      <c r="IB16" s="530"/>
      <c r="IC16" s="530"/>
      <c r="ID16" s="530"/>
      <c r="IE16" s="530"/>
      <c r="IF16" s="530"/>
      <c r="IG16" s="530"/>
      <c r="IH16" s="530"/>
      <c r="II16" s="530"/>
      <c r="IJ16" s="530"/>
      <c r="IK16" s="530"/>
      <c r="IL16" s="530"/>
      <c r="IM16" s="530"/>
      <c r="IN16" s="530"/>
      <c r="IO16" s="530"/>
      <c r="IP16" s="530"/>
      <c r="IQ16" s="530"/>
      <c r="IR16" s="530"/>
      <c r="IS16" s="530"/>
      <c r="IT16" s="530"/>
    </row>
    <row r="17" spans="1:254" ht="11.1" customHeight="1" x14ac:dyDescent="0.2">
      <c r="A17" s="547" t="s">
        <v>1955</v>
      </c>
      <c r="B17" s="548">
        <f t="shared" si="0"/>
        <v>62064</v>
      </c>
      <c r="C17" s="549"/>
      <c r="D17" s="550"/>
      <c r="E17" s="548">
        <v>5172</v>
      </c>
      <c r="F17" s="551"/>
      <c r="G17" s="551"/>
      <c r="H17" s="547">
        <f t="shared" si="1"/>
        <v>0</v>
      </c>
      <c r="I17" s="547" t="s">
        <v>1955</v>
      </c>
      <c r="J17" s="548">
        <f t="shared" si="2"/>
        <v>62064</v>
      </c>
      <c r="K17" s="549"/>
      <c r="L17" s="550"/>
      <c r="M17" s="548">
        <v>5172</v>
      </c>
      <c r="N17" s="551"/>
      <c r="O17" s="551"/>
      <c r="P17" s="545"/>
      <c r="Q17" s="546"/>
      <c r="R17" s="546"/>
      <c r="S17" s="530"/>
      <c r="T17" s="530"/>
      <c r="U17" s="545"/>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0"/>
      <c r="DV17" s="530"/>
      <c r="DW17" s="530"/>
      <c r="DX17" s="530"/>
      <c r="DY17" s="530"/>
      <c r="DZ17" s="530"/>
      <c r="EA17" s="530"/>
      <c r="EB17" s="530"/>
      <c r="EC17" s="530"/>
      <c r="ED17" s="530"/>
      <c r="EE17" s="530"/>
      <c r="EF17" s="530"/>
      <c r="EG17" s="530"/>
      <c r="EH17" s="530"/>
      <c r="EI17" s="530"/>
      <c r="EJ17" s="530"/>
      <c r="EK17" s="530"/>
      <c r="EL17" s="530"/>
      <c r="EM17" s="530"/>
      <c r="EN17" s="530"/>
      <c r="EO17" s="530"/>
      <c r="EP17" s="530"/>
      <c r="EQ17" s="530"/>
      <c r="ER17" s="530"/>
      <c r="ES17" s="530"/>
      <c r="ET17" s="530"/>
      <c r="EU17" s="530"/>
      <c r="EV17" s="530"/>
      <c r="EW17" s="530"/>
      <c r="EX17" s="530"/>
      <c r="EY17" s="530"/>
      <c r="EZ17" s="530"/>
      <c r="FA17" s="530"/>
      <c r="FB17" s="530"/>
      <c r="FC17" s="530"/>
      <c r="FD17" s="530"/>
      <c r="FE17" s="530"/>
      <c r="FF17" s="530"/>
      <c r="FG17" s="530"/>
      <c r="FH17" s="530"/>
      <c r="FI17" s="530"/>
      <c r="FJ17" s="530"/>
      <c r="FK17" s="530"/>
      <c r="FL17" s="530"/>
      <c r="FM17" s="530"/>
      <c r="FN17" s="530"/>
      <c r="FO17" s="530"/>
      <c r="FP17" s="530"/>
      <c r="FQ17" s="530"/>
      <c r="FR17" s="530"/>
      <c r="FS17" s="530"/>
      <c r="FT17" s="530"/>
      <c r="FU17" s="530"/>
      <c r="FV17" s="530"/>
      <c r="FW17" s="530"/>
      <c r="FX17" s="530"/>
      <c r="FY17" s="530"/>
      <c r="FZ17" s="530"/>
      <c r="GA17" s="530"/>
      <c r="GB17" s="530"/>
      <c r="GC17" s="530"/>
      <c r="GD17" s="530"/>
      <c r="GE17" s="530"/>
      <c r="GF17" s="530"/>
      <c r="GG17" s="530"/>
      <c r="GH17" s="530"/>
      <c r="GI17" s="530"/>
      <c r="GJ17" s="530"/>
      <c r="GK17" s="530"/>
      <c r="GL17" s="530"/>
      <c r="GM17" s="530"/>
      <c r="GN17" s="530"/>
      <c r="GO17" s="530"/>
      <c r="GP17" s="530"/>
      <c r="GQ17" s="530"/>
      <c r="GR17" s="530"/>
      <c r="GS17" s="530"/>
      <c r="GT17" s="530"/>
      <c r="GU17" s="530"/>
      <c r="GV17" s="530"/>
      <c r="GW17" s="530"/>
      <c r="GX17" s="530"/>
      <c r="GY17" s="530"/>
      <c r="GZ17" s="530"/>
      <c r="HA17" s="530"/>
      <c r="HB17" s="530"/>
      <c r="HC17" s="530"/>
      <c r="HD17" s="530"/>
      <c r="HE17" s="530"/>
      <c r="HF17" s="530"/>
      <c r="HG17" s="530"/>
      <c r="HH17" s="530"/>
      <c r="HI17" s="530"/>
      <c r="HJ17" s="530"/>
      <c r="HK17" s="530"/>
      <c r="HL17" s="530"/>
      <c r="HM17" s="530"/>
      <c r="HN17" s="530"/>
      <c r="HO17" s="530"/>
      <c r="HP17" s="530"/>
      <c r="HQ17" s="530"/>
      <c r="HR17" s="530"/>
      <c r="HS17" s="530"/>
      <c r="HT17" s="530"/>
      <c r="HU17" s="530"/>
      <c r="HV17" s="530"/>
      <c r="HW17" s="530"/>
      <c r="HX17" s="530"/>
      <c r="HY17" s="530"/>
      <c r="HZ17" s="530"/>
      <c r="IA17" s="530"/>
      <c r="IB17" s="530"/>
      <c r="IC17" s="530"/>
      <c r="ID17" s="530"/>
      <c r="IE17" s="530"/>
      <c r="IF17" s="530"/>
      <c r="IG17" s="530"/>
      <c r="IH17" s="530"/>
      <c r="II17" s="530"/>
      <c r="IJ17" s="530"/>
      <c r="IK17" s="530"/>
      <c r="IL17" s="530"/>
      <c r="IM17" s="530"/>
      <c r="IN17" s="530"/>
      <c r="IO17" s="530"/>
      <c r="IP17" s="530"/>
      <c r="IQ17" s="530"/>
      <c r="IR17" s="530"/>
      <c r="IS17" s="530"/>
      <c r="IT17" s="530"/>
    </row>
    <row r="18" spans="1:254" ht="11.1" customHeight="1" x14ac:dyDescent="0.2">
      <c r="A18" s="552" t="s">
        <v>1956</v>
      </c>
      <c r="B18" s="553">
        <f t="shared" si="0"/>
        <v>60480</v>
      </c>
      <c r="C18" s="554"/>
      <c r="D18" s="555"/>
      <c r="E18" s="553">
        <v>5040</v>
      </c>
      <c r="F18" s="556"/>
      <c r="G18" s="556"/>
      <c r="H18" s="552">
        <f t="shared" si="1"/>
        <v>0</v>
      </c>
      <c r="I18" s="552" t="s">
        <v>1956</v>
      </c>
      <c r="J18" s="553">
        <f t="shared" si="2"/>
        <v>60480</v>
      </c>
      <c r="K18" s="554"/>
      <c r="L18" s="555"/>
      <c r="M18" s="553">
        <v>5040</v>
      </c>
      <c r="N18" s="556"/>
      <c r="O18" s="556"/>
      <c r="P18" s="545"/>
      <c r="Q18" s="546"/>
      <c r="R18" s="546"/>
      <c r="S18" s="530"/>
      <c r="T18" s="530"/>
      <c r="U18" s="545"/>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0"/>
      <c r="DV18" s="530"/>
      <c r="DW18" s="530"/>
      <c r="DX18" s="530"/>
      <c r="DY18" s="530"/>
      <c r="DZ18" s="530"/>
      <c r="EA18" s="530"/>
      <c r="EB18" s="530"/>
      <c r="EC18" s="530"/>
      <c r="ED18" s="530"/>
      <c r="EE18" s="530"/>
      <c r="EF18" s="530"/>
      <c r="EG18" s="530"/>
      <c r="EH18" s="530"/>
      <c r="EI18" s="530"/>
      <c r="EJ18" s="530"/>
      <c r="EK18" s="530"/>
      <c r="EL18" s="530"/>
      <c r="EM18" s="530"/>
      <c r="EN18" s="530"/>
      <c r="EO18" s="530"/>
      <c r="EP18" s="530"/>
      <c r="EQ18" s="530"/>
      <c r="ER18" s="530"/>
      <c r="ES18" s="530"/>
      <c r="ET18" s="530"/>
      <c r="EU18" s="530"/>
      <c r="EV18" s="530"/>
      <c r="EW18" s="530"/>
      <c r="EX18" s="530"/>
      <c r="EY18" s="530"/>
      <c r="EZ18" s="530"/>
      <c r="FA18" s="530"/>
      <c r="FB18" s="530"/>
      <c r="FC18" s="530"/>
      <c r="FD18" s="530"/>
      <c r="FE18" s="530"/>
      <c r="FF18" s="530"/>
      <c r="FG18" s="530"/>
      <c r="FH18" s="530"/>
      <c r="FI18" s="530"/>
      <c r="FJ18" s="530"/>
      <c r="FK18" s="530"/>
      <c r="FL18" s="530"/>
      <c r="FM18" s="530"/>
      <c r="FN18" s="530"/>
      <c r="FO18" s="530"/>
      <c r="FP18" s="530"/>
      <c r="FQ18" s="530"/>
      <c r="FR18" s="530"/>
      <c r="FS18" s="530"/>
      <c r="FT18" s="530"/>
      <c r="FU18" s="530"/>
      <c r="FV18" s="530"/>
      <c r="FW18" s="530"/>
      <c r="FX18" s="530"/>
      <c r="FY18" s="530"/>
      <c r="FZ18" s="530"/>
      <c r="GA18" s="530"/>
      <c r="GB18" s="530"/>
      <c r="GC18" s="530"/>
      <c r="GD18" s="530"/>
      <c r="GE18" s="530"/>
      <c r="GF18" s="530"/>
      <c r="GG18" s="530"/>
      <c r="GH18" s="530"/>
      <c r="GI18" s="530"/>
      <c r="GJ18" s="530"/>
      <c r="GK18" s="530"/>
      <c r="GL18" s="530"/>
      <c r="GM18" s="530"/>
      <c r="GN18" s="530"/>
      <c r="GO18" s="530"/>
      <c r="GP18" s="530"/>
      <c r="GQ18" s="530"/>
      <c r="GR18" s="530"/>
      <c r="GS18" s="530"/>
      <c r="GT18" s="530"/>
      <c r="GU18" s="530"/>
      <c r="GV18" s="530"/>
      <c r="GW18" s="530"/>
      <c r="GX18" s="530"/>
      <c r="GY18" s="530"/>
      <c r="GZ18" s="530"/>
      <c r="HA18" s="530"/>
      <c r="HB18" s="530"/>
      <c r="HC18" s="530"/>
      <c r="HD18" s="530"/>
      <c r="HE18" s="530"/>
      <c r="HF18" s="530"/>
      <c r="HG18" s="530"/>
      <c r="HH18" s="530"/>
      <c r="HI18" s="530"/>
      <c r="HJ18" s="530"/>
      <c r="HK18" s="530"/>
      <c r="HL18" s="530"/>
      <c r="HM18" s="530"/>
      <c r="HN18" s="530"/>
      <c r="HO18" s="530"/>
      <c r="HP18" s="530"/>
      <c r="HQ18" s="530"/>
      <c r="HR18" s="530"/>
      <c r="HS18" s="530"/>
      <c r="HT18" s="530"/>
      <c r="HU18" s="530"/>
      <c r="HV18" s="530"/>
      <c r="HW18" s="530"/>
      <c r="HX18" s="530"/>
      <c r="HY18" s="530"/>
      <c r="HZ18" s="530"/>
      <c r="IA18" s="530"/>
      <c r="IB18" s="530"/>
      <c r="IC18" s="530"/>
      <c r="ID18" s="530"/>
      <c r="IE18" s="530"/>
      <c r="IF18" s="530"/>
      <c r="IG18" s="530"/>
      <c r="IH18" s="530"/>
      <c r="II18" s="530"/>
      <c r="IJ18" s="530"/>
      <c r="IK18" s="530"/>
      <c r="IL18" s="530"/>
      <c r="IM18" s="530"/>
      <c r="IN18" s="530"/>
      <c r="IO18" s="530"/>
      <c r="IP18" s="530"/>
      <c r="IQ18" s="530"/>
      <c r="IR18" s="530"/>
      <c r="IS18" s="530"/>
      <c r="IT18" s="530"/>
    </row>
    <row r="19" spans="1:254" ht="11.1" customHeight="1" x14ac:dyDescent="0.2">
      <c r="A19" s="547" t="s">
        <v>1957</v>
      </c>
      <c r="B19" s="548">
        <f t="shared" si="0"/>
        <v>58896</v>
      </c>
      <c r="C19" s="549"/>
      <c r="D19" s="550"/>
      <c r="E19" s="548">
        <v>4908</v>
      </c>
      <c r="F19" s="551"/>
      <c r="G19" s="551"/>
      <c r="H19" s="547">
        <f t="shared" si="1"/>
        <v>0</v>
      </c>
      <c r="I19" s="547" t="s">
        <v>1957</v>
      </c>
      <c r="J19" s="548">
        <f t="shared" si="2"/>
        <v>58896</v>
      </c>
      <c r="K19" s="549"/>
      <c r="L19" s="550"/>
      <c r="M19" s="548">
        <v>4908</v>
      </c>
      <c r="N19" s="551"/>
      <c r="O19" s="551"/>
      <c r="P19" s="545"/>
      <c r="Q19" s="546"/>
      <c r="R19" s="546"/>
      <c r="S19" s="530"/>
      <c r="T19" s="530"/>
      <c r="U19" s="545"/>
      <c r="V19" s="530"/>
      <c r="W19" s="530"/>
      <c r="X19" s="530"/>
      <c r="Y19" s="530"/>
      <c r="Z19" s="530"/>
      <c r="AA19" s="530"/>
      <c r="AB19" s="530"/>
      <c r="AC19" s="530"/>
      <c r="AD19" s="530"/>
      <c r="AE19" s="530"/>
      <c r="AF19" s="530"/>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0"/>
      <c r="GN19" s="530"/>
      <c r="GO19" s="530"/>
      <c r="GP19" s="530"/>
      <c r="GQ19" s="530"/>
      <c r="GR19" s="530"/>
      <c r="GS19" s="530"/>
      <c r="GT19" s="530"/>
      <c r="GU19" s="530"/>
      <c r="GV19" s="530"/>
      <c r="GW19" s="530"/>
      <c r="GX19" s="530"/>
      <c r="GY19" s="530"/>
      <c r="GZ19" s="530"/>
      <c r="HA19" s="530"/>
      <c r="HB19" s="530"/>
      <c r="HC19" s="530"/>
      <c r="HD19" s="530"/>
      <c r="HE19" s="530"/>
      <c r="HF19" s="530"/>
      <c r="HG19" s="530"/>
      <c r="HH19" s="530"/>
      <c r="HI19" s="530"/>
      <c r="HJ19" s="530"/>
      <c r="HK19" s="530"/>
      <c r="HL19" s="530"/>
      <c r="HM19" s="530"/>
      <c r="HN19" s="530"/>
      <c r="HO19" s="530"/>
      <c r="HP19" s="530"/>
      <c r="HQ19" s="530"/>
      <c r="HR19" s="530"/>
      <c r="HS19" s="530"/>
      <c r="HT19" s="530"/>
      <c r="HU19" s="530"/>
      <c r="HV19" s="530"/>
      <c r="HW19" s="530"/>
      <c r="HX19" s="530"/>
      <c r="HY19" s="530"/>
      <c r="HZ19" s="530"/>
      <c r="IA19" s="530"/>
      <c r="IB19" s="530"/>
      <c r="IC19" s="530"/>
      <c r="ID19" s="530"/>
      <c r="IE19" s="530"/>
      <c r="IF19" s="530"/>
      <c r="IG19" s="530"/>
      <c r="IH19" s="530"/>
      <c r="II19" s="530"/>
      <c r="IJ19" s="530"/>
      <c r="IK19" s="530"/>
      <c r="IL19" s="530"/>
      <c r="IM19" s="530"/>
      <c r="IN19" s="530"/>
      <c r="IO19" s="530"/>
      <c r="IP19" s="530"/>
      <c r="IQ19" s="530"/>
      <c r="IR19" s="530"/>
      <c r="IS19" s="530"/>
      <c r="IT19" s="530"/>
    </row>
    <row r="20" spans="1:254" ht="11.1" customHeight="1" x14ac:dyDescent="0.2">
      <c r="A20" s="552" t="s">
        <v>1958</v>
      </c>
      <c r="B20" s="553">
        <f t="shared" si="0"/>
        <v>57312</v>
      </c>
      <c r="C20" s="554"/>
      <c r="D20" s="555"/>
      <c r="E20" s="553">
        <v>4776</v>
      </c>
      <c r="F20" s="556"/>
      <c r="G20" s="556"/>
      <c r="H20" s="552">
        <f t="shared" si="1"/>
        <v>0</v>
      </c>
      <c r="I20" s="552" t="s">
        <v>1958</v>
      </c>
      <c r="J20" s="553">
        <f t="shared" si="2"/>
        <v>57312</v>
      </c>
      <c r="K20" s="554"/>
      <c r="L20" s="555"/>
      <c r="M20" s="553">
        <v>4776</v>
      </c>
      <c r="N20" s="556"/>
      <c r="O20" s="556"/>
      <c r="P20" s="545"/>
      <c r="Q20" s="546"/>
      <c r="R20" s="546"/>
      <c r="S20" s="530"/>
      <c r="T20" s="530"/>
      <c r="U20" s="545"/>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0"/>
      <c r="DV20" s="530"/>
      <c r="DW20" s="530"/>
      <c r="DX20" s="530"/>
      <c r="DY20" s="530"/>
      <c r="DZ20" s="530"/>
      <c r="EA20" s="530"/>
      <c r="EB20" s="530"/>
      <c r="EC20" s="530"/>
      <c r="ED20" s="530"/>
      <c r="EE20" s="530"/>
      <c r="EF20" s="530"/>
      <c r="EG20" s="530"/>
      <c r="EH20" s="530"/>
      <c r="EI20" s="530"/>
      <c r="EJ20" s="530"/>
      <c r="EK20" s="530"/>
      <c r="EL20" s="530"/>
      <c r="EM20" s="530"/>
      <c r="EN20" s="530"/>
      <c r="EO20" s="530"/>
      <c r="EP20" s="530"/>
      <c r="EQ20" s="530"/>
      <c r="ER20" s="530"/>
      <c r="ES20" s="530"/>
      <c r="ET20" s="530"/>
      <c r="EU20" s="530"/>
      <c r="EV20" s="530"/>
      <c r="EW20" s="530"/>
      <c r="EX20" s="530"/>
      <c r="EY20" s="530"/>
      <c r="EZ20" s="530"/>
      <c r="FA20" s="530"/>
      <c r="FB20" s="530"/>
      <c r="FC20" s="530"/>
      <c r="FD20" s="530"/>
      <c r="FE20" s="530"/>
      <c r="FF20" s="530"/>
      <c r="FG20" s="530"/>
      <c r="FH20" s="530"/>
      <c r="FI20" s="530"/>
      <c r="FJ20" s="530"/>
      <c r="FK20" s="530"/>
      <c r="FL20" s="530"/>
      <c r="FM20" s="530"/>
      <c r="FN20" s="530"/>
      <c r="FO20" s="530"/>
      <c r="FP20" s="530"/>
      <c r="FQ20" s="530"/>
      <c r="FR20" s="530"/>
      <c r="FS20" s="530"/>
      <c r="FT20" s="530"/>
      <c r="FU20" s="530"/>
      <c r="FV20" s="530"/>
      <c r="FW20" s="530"/>
      <c r="FX20" s="530"/>
      <c r="FY20" s="530"/>
      <c r="FZ20" s="530"/>
      <c r="GA20" s="530"/>
      <c r="GB20" s="530"/>
      <c r="GC20" s="530"/>
      <c r="GD20" s="530"/>
      <c r="GE20" s="530"/>
      <c r="GF20" s="530"/>
      <c r="GG20" s="530"/>
      <c r="GH20" s="530"/>
      <c r="GI20" s="530"/>
      <c r="GJ20" s="530"/>
      <c r="GK20" s="530"/>
      <c r="GL20" s="530"/>
      <c r="GM20" s="530"/>
      <c r="GN20" s="530"/>
      <c r="GO20" s="530"/>
      <c r="GP20" s="530"/>
      <c r="GQ20" s="530"/>
      <c r="GR20" s="530"/>
      <c r="GS20" s="530"/>
      <c r="GT20" s="530"/>
      <c r="GU20" s="530"/>
      <c r="GV20" s="530"/>
      <c r="GW20" s="530"/>
      <c r="GX20" s="530"/>
      <c r="GY20" s="530"/>
      <c r="GZ20" s="530"/>
      <c r="HA20" s="530"/>
      <c r="HB20" s="530"/>
      <c r="HC20" s="530"/>
      <c r="HD20" s="530"/>
      <c r="HE20" s="530"/>
      <c r="HF20" s="530"/>
      <c r="HG20" s="530"/>
      <c r="HH20" s="530"/>
      <c r="HI20" s="530"/>
      <c r="HJ20" s="530"/>
      <c r="HK20" s="530"/>
      <c r="HL20" s="530"/>
      <c r="HM20" s="530"/>
      <c r="HN20" s="530"/>
      <c r="HO20" s="530"/>
      <c r="HP20" s="530"/>
      <c r="HQ20" s="530"/>
      <c r="HR20" s="530"/>
      <c r="HS20" s="530"/>
      <c r="HT20" s="530"/>
      <c r="HU20" s="530"/>
      <c r="HV20" s="530"/>
      <c r="HW20" s="530"/>
      <c r="HX20" s="530"/>
      <c r="HY20" s="530"/>
      <c r="HZ20" s="530"/>
      <c r="IA20" s="530"/>
      <c r="IB20" s="530"/>
      <c r="IC20" s="530"/>
      <c r="ID20" s="530"/>
      <c r="IE20" s="530"/>
      <c r="IF20" s="530"/>
      <c r="IG20" s="530"/>
      <c r="IH20" s="530"/>
      <c r="II20" s="530"/>
      <c r="IJ20" s="530"/>
      <c r="IK20" s="530"/>
      <c r="IL20" s="530"/>
      <c r="IM20" s="530"/>
      <c r="IN20" s="530"/>
      <c r="IO20" s="530"/>
      <c r="IP20" s="530"/>
      <c r="IQ20" s="530"/>
      <c r="IR20" s="530"/>
      <c r="IS20" s="530"/>
      <c r="IT20" s="530"/>
    </row>
    <row r="21" spans="1:254" ht="11.1" customHeight="1" x14ac:dyDescent="0.2">
      <c r="A21" s="547" t="s">
        <v>1959</v>
      </c>
      <c r="B21" s="548">
        <f t="shared" si="0"/>
        <v>55728</v>
      </c>
      <c r="C21" s="549"/>
      <c r="D21" s="550"/>
      <c r="E21" s="548">
        <v>4644</v>
      </c>
      <c r="F21" s="551"/>
      <c r="G21" s="551"/>
      <c r="H21" s="547">
        <f t="shared" si="1"/>
        <v>0</v>
      </c>
      <c r="I21" s="547" t="s">
        <v>1959</v>
      </c>
      <c r="J21" s="548">
        <f t="shared" si="2"/>
        <v>55728</v>
      </c>
      <c r="K21" s="549"/>
      <c r="L21" s="550"/>
      <c r="M21" s="548">
        <v>4644</v>
      </c>
      <c r="N21" s="551"/>
      <c r="O21" s="551"/>
      <c r="P21" s="545"/>
      <c r="Q21" s="546"/>
      <c r="R21" s="546"/>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0"/>
      <c r="DV21" s="530"/>
      <c r="DW21" s="530"/>
      <c r="DX21" s="530"/>
      <c r="DY21" s="530"/>
      <c r="DZ21" s="530"/>
      <c r="EA21" s="530"/>
      <c r="EB21" s="530"/>
      <c r="EC21" s="530"/>
      <c r="ED21" s="530"/>
      <c r="EE21" s="530"/>
      <c r="EF21" s="530"/>
      <c r="EG21" s="530"/>
      <c r="EH21" s="530"/>
      <c r="EI21" s="530"/>
      <c r="EJ21" s="530"/>
      <c r="EK21" s="530"/>
      <c r="EL21" s="530"/>
      <c r="EM21" s="530"/>
      <c r="EN21" s="530"/>
      <c r="EO21" s="530"/>
      <c r="EP21" s="530"/>
      <c r="EQ21" s="530"/>
      <c r="ER21" s="530"/>
      <c r="ES21" s="530"/>
      <c r="ET21" s="530"/>
      <c r="EU21" s="530"/>
      <c r="EV21" s="530"/>
      <c r="EW21" s="530"/>
      <c r="EX21" s="530"/>
      <c r="EY21" s="530"/>
      <c r="EZ21" s="530"/>
      <c r="FA21" s="530"/>
      <c r="FB21" s="530"/>
      <c r="FC21" s="530"/>
      <c r="FD21" s="530"/>
      <c r="FE21" s="530"/>
      <c r="FF21" s="530"/>
      <c r="FG21" s="530"/>
      <c r="FH21" s="530"/>
      <c r="FI21" s="530"/>
      <c r="FJ21" s="530"/>
      <c r="FK21" s="530"/>
      <c r="FL21" s="530"/>
      <c r="FM21" s="530"/>
      <c r="FN21" s="530"/>
      <c r="FO21" s="530"/>
      <c r="FP21" s="530"/>
      <c r="FQ21" s="530"/>
      <c r="FR21" s="530"/>
      <c r="FS21" s="530"/>
      <c r="FT21" s="530"/>
      <c r="FU21" s="530"/>
      <c r="FV21" s="530"/>
      <c r="FW21" s="530"/>
      <c r="FX21" s="530"/>
      <c r="FY21" s="530"/>
      <c r="FZ21" s="530"/>
      <c r="GA21" s="530"/>
      <c r="GB21" s="530"/>
      <c r="GC21" s="530"/>
      <c r="GD21" s="530"/>
      <c r="GE21" s="530"/>
      <c r="GF21" s="530"/>
      <c r="GG21" s="530"/>
      <c r="GH21" s="530"/>
      <c r="GI21" s="530"/>
      <c r="GJ21" s="530"/>
      <c r="GK21" s="530"/>
      <c r="GL21" s="530"/>
      <c r="GM21" s="530"/>
      <c r="GN21" s="530"/>
      <c r="GO21" s="530"/>
      <c r="GP21" s="530"/>
      <c r="GQ21" s="530"/>
      <c r="GR21" s="530"/>
      <c r="GS21" s="530"/>
      <c r="GT21" s="530"/>
      <c r="GU21" s="530"/>
      <c r="GV21" s="530"/>
      <c r="GW21" s="530"/>
      <c r="GX21" s="530"/>
      <c r="GY21" s="530"/>
      <c r="GZ21" s="530"/>
      <c r="HA21" s="530"/>
      <c r="HB21" s="530"/>
      <c r="HC21" s="530"/>
      <c r="HD21" s="530"/>
      <c r="HE21" s="530"/>
      <c r="HF21" s="530"/>
      <c r="HG21" s="530"/>
      <c r="HH21" s="530"/>
      <c r="HI21" s="530"/>
      <c r="HJ21" s="530"/>
      <c r="HK21" s="530"/>
      <c r="HL21" s="530"/>
      <c r="HM21" s="530"/>
      <c r="HN21" s="530"/>
      <c r="HO21" s="530"/>
      <c r="HP21" s="530"/>
      <c r="HQ21" s="530"/>
      <c r="HR21" s="530"/>
      <c r="HS21" s="530"/>
      <c r="HT21" s="530"/>
      <c r="HU21" s="530"/>
      <c r="HV21" s="530"/>
      <c r="HW21" s="530"/>
      <c r="HX21" s="530"/>
      <c r="HY21" s="530"/>
      <c r="HZ21" s="530"/>
      <c r="IA21" s="530"/>
      <c r="IB21" s="530"/>
      <c r="IC21" s="530"/>
      <c r="ID21" s="530"/>
      <c r="IE21" s="530"/>
      <c r="IF21" s="530"/>
      <c r="IG21" s="530"/>
      <c r="IH21" s="530"/>
      <c r="II21" s="530"/>
      <c r="IJ21" s="530"/>
      <c r="IK21" s="530"/>
      <c r="IL21" s="530"/>
      <c r="IM21" s="530"/>
      <c r="IN21" s="530"/>
      <c r="IO21" s="530"/>
      <c r="IP21" s="530"/>
      <c r="IQ21" s="530"/>
      <c r="IR21" s="530"/>
      <c r="IS21" s="530"/>
      <c r="IT21" s="530"/>
    </row>
    <row r="22" spans="1:254" ht="11.1" customHeight="1" x14ac:dyDescent="0.2">
      <c r="A22" s="552" t="s">
        <v>1960</v>
      </c>
      <c r="B22" s="553">
        <f t="shared" si="0"/>
        <v>54144</v>
      </c>
      <c r="C22" s="554"/>
      <c r="D22" s="555"/>
      <c r="E22" s="553">
        <v>4512</v>
      </c>
      <c r="F22" s="556"/>
      <c r="G22" s="556"/>
      <c r="H22" s="552">
        <f t="shared" si="1"/>
        <v>0</v>
      </c>
      <c r="I22" s="552" t="s">
        <v>1960</v>
      </c>
      <c r="J22" s="553">
        <f t="shared" si="2"/>
        <v>54144</v>
      </c>
      <c r="K22" s="554"/>
      <c r="L22" s="555"/>
      <c r="M22" s="553">
        <v>4512</v>
      </c>
      <c r="N22" s="556"/>
      <c r="O22" s="556"/>
      <c r="P22" s="545"/>
      <c r="Q22" s="546"/>
      <c r="R22" s="546"/>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30"/>
      <c r="ED22" s="530"/>
      <c r="EE22" s="530"/>
      <c r="EF22" s="530"/>
      <c r="EG22" s="530"/>
      <c r="EH22" s="530"/>
      <c r="EI22" s="530"/>
      <c r="EJ22" s="530"/>
      <c r="EK22" s="530"/>
      <c r="EL22" s="530"/>
      <c r="EM22" s="530"/>
      <c r="EN22" s="530"/>
      <c r="EO22" s="530"/>
      <c r="EP22" s="530"/>
      <c r="EQ22" s="530"/>
      <c r="ER22" s="530"/>
      <c r="ES22" s="530"/>
      <c r="ET22" s="530"/>
      <c r="EU22" s="530"/>
      <c r="EV22" s="530"/>
      <c r="EW22" s="530"/>
      <c r="EX22" s="530"/>
      <c r="EY22" s="530"/>
      <c r="EZ22" s="530"/>
      <c r="FA22" s="530"/>
      <c r="FB22" s="530"/>
      <c r="FC22" s="530"/>
      <c r="FD22" s="530"/>
      <c r="FE22" s="530"/>
      <c r="FF22" s="530"/>
      <c r="FG22" s="530"/>
      <c r="FH22" s="530"/>
      <c r="FI22" s="530"/>
      <c r="FJ22" s="530"/>
      <c r="FK22" s="530"/>
      <c r="FL22" s="530"/>
      <c r="FM22" s="530"/>
      <c r="FN22" s="530"/>
      <c r="FO22" s="530"/>
      <c r="FP22" s="530"/>
      <c r="FQ22" s="530"/>
      <c r="FR22" s="530"/>
      <c r="FS22" s="530"/>
      <c r="FT22" s="530"/>
      <c r="FU22" s="530"/>
      <c r="FV22" s="530"/>
      <c r="FW22" s="530"/>
      <c r="FX22" s="530"/>
      <c r="FY22" s="530"/>
      <c r="FZ22" s="530"/>
      <c r="GA22" s="530"/>
      <c r="GB22" s="530"/>
      <c r="GC22" s="530"/>
      <c r="GD22" s="530"/>
      <c r="GE22" s="530"/>
      <c r="GF22" s="530"/>
      <c r="GG22" s="530"/>
      <c r="GH22" s="530"/>
      <c r="GI22" s="530"/>
      <c r="GJ22" s="530"/>
      <c r="GK22" s="530"/>
      <c r="GL22" s="530"/>
      <c r="GM22" s="530"/>
      <c r="GN22" s="530"/>
      <c r="GO22" s="530"/>
      <c r="GP22" s="530"/>
      <c r="GQ22" s="530"/>
      <c r="GR22" s="530"/>
      <c r="GS22" s="530"/>
      <c r="GT22" s="530"/>
      <c r="GU22" s="530"/>
      <c r="GV22" s="530"/>
      <c r="GW22" s="530"/>
      <c r="GX22" s="530"/>
      <c r="GY22" s="530"/>
      <c r="GZ22" s="530"/>
      <c r="HA22" s="530"/>
      <c r="HB22" s="530"/>
      <c r="HC22" s="530"/>
      <c r="HD22" s="530"/>
      <c r="HE22" s="530"/>
      <c r="HF22" s="530"/>
      <c r="HG22" s="530"/>
      <c r="HH22" s="530"/>
      <c r="HI22" s="530"/>
      <c r="HJ22" s="530"/>
      <c r="HK22" s="530"/>
      <c r="HL22" s="530"/>
      <c r="HM22" s="530"/>
      <c r="HN22" s="530"/>
      <c r="HO22" s="530"/>
      <c r="HP22" s="530"/>
      <c r="HQ22" s="530"/>
      <c r="HR22" s="530"/>
      <c r="HS22" s="530"/>
      <c r="HT22" s="530"/>
      <c r="HU22" s="530"/>
      <c r="HV22" s="530"/>
      <c r="HW22" s="530"/>
      <c r="HX22" s="530"/>
      <c r="HY22" s="530"/>
      <c r="HZ22" s="530"/>
      <c r="IA22" s="530"/>
      <c r="IB22" s="530"/>
      <c r="IC22" s="530"/>
      <c r="ID22" s="530"/>
      <c r="IE22" s="530"/>
      <c r="IF22" s="530"/>
      <c r="IG22" s="530"/>
      <c r="IH22" s="530"/>
      <c r="II22" s="530"/>
      <c r="IJ22" s="530"/>
      <c r="IK22" s="530"/>
      <c r="IL22" s="530"/>
      <c r="IM22" s="530"/>
      <c r="IN22" s="530"/>
      <c r="IO22" s="530"/>
      <c r="IP22" s="530"/>
      <c r="IQ22" s="530"/>
      <c r="IR22" s="530"/>
      <c r="IS22" s="530"/>
      <c r="IT22" s="530"/>
    </row>
    <row r="23" spans="1:254" ht="11.1" customHeight="1" x14ac:dyDescent="0.2">
      <c r="A23" s="547" t="s">
        <v>1961</v>
      </c>
      <c r="B23" s="548">
        <f t="shared" si="0"/>
        <v>52560</v>
      </c>
      <c r="C23" s="549"/>
      <c r="D23" s="550"/>
      <c r="E23" s="548">
        <v>4380</v>
      </c>
      <c r="F23" s="551"/>
      <c r="G23" s="551"/>
      <c r="H23" s="547">
        <f t="shared" si="1"/>
        <v>0</v>
      </c>
      <c r="I23" s="547" t="s">
        <v>1961</v>
      </c>
      <c r="J23" s="548">
        <f t="shared" si="2"/>
        <v>52560</v>
      </c>
      <c r="K23" s="549"/>
      <c r="L23" s="550"/>
      <c r="M23" s="548">
        <v>4380</v>
      </c>
      <c r="N23" s="551"/>
      <c r="O23" s="551"/>
      <c r="P23" s="545"/>
      <c r="Q23" s="546"/>
      <c r="R23" s="546"/>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0"/>
      <c r="BZ23" s="530"/>
      <c r="CA23" s="530"/>
      <c r="CB23" s="530"/>
      <c r="CC23" s="530"/>
      <c r="CD23" s="530"/>
      <c r="CE23" s="530"/>
      <c r="CF23" s="530"/>
      <c r="CG23" s="530"/>
      <c r="CH23" s="530"/>
      <c r="CI23" s="530"/>
      <c r="CJ23" s="530"/>
      <c r="CK23" s="530"/>
      <c r="CL23" s="530"/>
      <c r="CM23" s="530"/>
      <c r="CN23" s="530"/>
      <c r="CO23" s="530"/>
      <c r="CP23" s="530"/>
      <c r="CQ23" s="530"/>
      <c r="CR23" s="530"/>
      <c r="CS23" s="530"/>
      <c r="CT23" s="530"/>
      <c r="CU23" s="530"/>
      <c r="CV23" s="530"/>
      <c r="CW23" s="530"/>
      <c r="CX23" s="530"/>
      <c r="CY23" s="530"/>
      <c r="CZ23" s="530"/>
      <c r="DA23" s="530"/>
      <c r="DB23" s="530"/>
      <c r="DC23" s="530"/>
      <c r="DD23" s="530"/>
      <c r="DE23" s="530"/>
      <c r="DF23" s="530"/>
      <c r="DG23" s="530"/>
      <c r="DH23" s="530"/>
      <c r="DI23" s="530"/>
      <c r="DJ23" s="530"/>
      <c r="DK23" s="530"/>
      <c r="DL23" s="530"/>
      <c r="DM23" s="530"/>
      <c r="DN23" s="530"/>
      <c r="DO23" s="530"/>
      <c r="DP23" s="530"/>
      <c r="DQ23" s="530"/>
      <c r="DR23" s="530"/>
      <c r="DS23" s="530"/>
      <c r="DT23" s="530"/>
      <c r="DU23" s="530"/>
      <c r="DV23" s="530"/>
      <c r="DW23" s="530"/>
      <c r="DX23" s="530"/>
      <c r="DY23" s="530"/>
      <c r="DZ23" s="530"/>
      <c r="EA23" s="530"/>
      <c r="EB23" s="530"/>
      <c r="EC23" s="530"/>
      <c r="ED23" s="530"/>
      <c r="EE23" s="530"/>
      <c r="EF23" s="530"/>
      <c r="EG23" s="530"/>
      <c r="EH23" s="530"/>
      <c r="EI23" s="530"/>
      <c r="EJ23" s="530"/>
      <c r="EK23" s="530"/>
      <c r="EL23" s="530"/>
      <c r="EM23" s="530"/>
      <c r="EN23" s="530"/>
      <c r="EO23" s="530"/>
      <c r="EP23" s="530"/>
      <c r="EQ23" s="530"/>
      <c r="ER23" s="530"/>
      <c r="ES23" s="530"/>
      <c r="ET23" s="530"/>
      <c r="EU23" s="530"/>
      <c r="EV23" s="530"/>
      <c r="EW23" s="530"/>
      <c r="EX23" s="530"/>
      <c r="EY23" s="530"/>
      <c r="EZ23" s="530"/>
      <c r="FA23" s="530"/>
      <c r="FB23" s="530"/>
      <c r="FC23" s="530"/>
      <c r="FD23" s="530"/>
      <c r="FE23" s="530"/>
      <c r="FF23" s="530"/>
      <c r="FG23" s="530"/>
      <c r="FH23" s="530"/>
      <c r="FI23" s="530"/>
      <c r="FJ23" s="530"/>
      <c r="FK23" s="530"/>
      <c r="FL23" s="530"/>
      <c r="FM23" s="530"/>
      <c r="FN23" s="530"/>
      <c r="FO23" s="530"/>
      <c r="FP23" s="530"/>
      <c r="FQ23" s="530"/>
      <c r="FR23" s="530"/>
      <c r="FS23" s="530"/>
      <c r="FT23" s="530"/>
      <c r="FU23" s="530"/>
      <c r="FV23" s="530"/>
      <c r="FW23" s="530"/>
      <c r="FX23" s="530"/>
      <c r="FY23" s="530"/>
      <c r="FZ23" s="530"/>
      <c r="GA23" s="530"/>
      <c r="GB23" s="530"/>
      <c r="GC23" s="530"/>
      <c r="GD23" s="530"/>
      <c r="GE23" s="530"/>
      <c r="GF23" s="530"/>
      <c r="GG23" s="530"/>
      <c r="GH23" s="530"/>
      <c r="GI23" s="530"/>
      <c r="GJ23" s="530"/>
      <c r="GK23" s="530"/>
      <c r="GL23" s="530"/>
      <c r="GM23" s="530"/>
      <c r="GN23" s="530"/>
      <c r="GO23" s="530"/>
      <c r="GP23" s="530"/>
      <c r="GQ23" s="530"/>
      <c r="GR23" s="530"/>
      <c r="GS23" s="530"/>
      <c r="GT23" s="530"/>
      <c r="GU23" s="530"/>
      <c r="GV23" s="530"/>
      <c r="GW23" s="530"/>
      <c r="GX23" s="530"/>
      <c r="GY23" s="530"/>
      <c r="GZ23" s="530"/>
      <c r="HA23" s="530"/>
      <c r="HB23" s="530"/>
      <c r="HC23" s="530"/>
      <c r="HD23" s="530"/>
      <c r="HE23" s="530"/>
      <c r="HF23" s="530"/>
      <c r="HG23" s="530"/>
      <c r="HH23" s="530"/>
      <c r="HI23" s="530"/>
      <c r="HJ23" s="530"/>
      <c r="HK23" s="530"/>
      <c r="HL23" s="530"/>
      <c r="HM23" s="530"/>
      <c r="HN23" s="530"/>
      <c r="HO23" s="530"/>
      <c r="HP23" s="530"/>
      <c r="HQ23" s="530"/>
      <c r="HR23" s="530"/>
      <c r="HS23" s="530"/>
      <c r="HT23" s="530"/>
      <c r="HU23" s="530"/>
      <c r="HV23" s="530"/>
      <c r="HW23" s="530"/>
      <c r="HX23" s="530"/>
      <c r="HY23" s="530"/>
      <c r="HZ23" s="530"/>
      <c r="IA23" s="530"/>
      <c r="IB23" s="530"/>
      <c r="IC23" s="530"/>
      <c r="ID23" s="530"/>
      <c r="IE23" s="530"/>
      <c r="IF23" s="530"/>
      <c r="IG23" s="530"/>
      <c r="IH23" s="530"/>
      <c r="II23" s="530"/>
      <c r="IJ23" s="530"/>
      <c r="IK23" s="530"/>
      <c r="IL23" s="530"/>
      <c r="IM23" s="530"/>
      <c r="IN23" s="530"/>
      <c r="IO23" s="530"/>
      <c r="IP23" s="530"/>
      <c r="IQ23" s="530"/>
      <c r="IR23" s="530"/>
      <c r="IS23" s="530"/>
      <c r="IT23" s="530"/>
    </row>
    <row r="24" spans="1:254" ht="11.1" customHeight="1" x14ac:dyDescent="0.2">
      <c r="A24" s="552" t="s">
        <v>1962</v>
      </c>
      <c r="B24" s="553">
        <f t="shared" si="0"/>
        <v>50976</v>
      </c>
      <c r="C24" s="554"/>
      <c r="D24" s="555"/>
      <c r="E24" s="553">
        <v>4248</v>
      </c>
      <c r="F24" s="556"/>
      <c r="G24" s="556"/>
      <c r="H24" s="552">
        <f t="shared" si="1"/>
        <v>0</v>
      </c>
      <c r="I24" s="552" t="s">
        <v>1962</v>
      </c>
      <c r="J24" s="553">
        <f t="shared" si="2"/>
        <v>50976</v>
      </c>
      <c r="K24" s="554"/>
      <c r="L24" s="555"/>
      <c r="M24" s="553">
        <v>4248</v>
      </c>
      <c r="N24" s="556"/>
      <c r="O24" s="556"/>
      <c r="P24" s="545"/>
      <c r="Q24" s="546"/>
      <c r="R24" s="546"/>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30"/>
      <c r="BX24" s="530"/>
      <c r="BY24" s="530"/>
      <c r="BZ24" s="530"/>
      <c r="CA24" s="530"/>
      <c r="CB24" s="530"/>
      <c r="CC24" s="530"/>
      <c r="CD24" s="530"/>
      <c r="CE24" s="530"/>
      <c r="CF24" s="530"/>
      <c r="CG24" s="530"/>
      <c r="CH24" s="530"/>
      <c r="CI24" s="530"/>
      <c r="CJ24" s="530"/>
      <c r="CK24" s="530"/>
      <c r="CL24" s="530"/>
      <c r="CM24" s="530"/>
      <c r="CN24" s="530"/>
      <c r="CO24" s="530"/>
      <c r="CP24" s="530"/>
      <c r="CQ24" s="530"/>
      <c r="CR24" s="530"/>
      <c r="CS24" s="530"/>
      <c r="CT24" s="530"/>
      <c r="CU24" s="530"/>
      <c r="CV24" s="530"/>
      <c r="CW24" s="530"/>
      <c r="CX24" s="530"/>
      <c r="CY24" s="530"/>
      <c r="CZ24" s="530"/>
      <c r="DA24" s="530"/>
      <c r="DB24" s="530"/>
      <c r="DC24" s="530"/>
      <c r="DD24" s="530"/>
      <c r="DE24" s="530"/>
      <c r="DF24" s="530"/>
      <c r="DG24" s="530"/>
      <c r="DH24" s="530"/>
      <c r="DI24" s="530"/>
      <c r="DJ24" s="530"/>
      <c r="DK24" s="530"/>
      <c r="DL24" s="530"/>
      <c r="DM24" s="530"/>
      <c r="DN24" s="530"/>
      <c r="DO24" s="530"/>
      <c r="DP24" s="530"/>
      <c r="DQ24" s="530"/>
      <c r="DR24" s="530"/>
      <c r="DS24" s="530"/>
      <c r="DT24" s="530"/>
      <c r="DU24" s="530"/>
      <c r="DV24" s="530"/>
      <c r="DW24" s="530"/>
      <c r="DX24" s="530"/>
      <c r="DY24" s="530"/>
      <c r="DZ24" s="530"/>
      <c r="EA24" s="530"/>
      <c r="EB24" s="530"/>
      <c r="EC24" s="530"/>
      <c r="ED24" s="530"/>
      <c r="EE24" s="530"/>
      <c r="EF24" s="530"/>
      <c r="EG24" s="530"/>
      <c r="EH24" s="530"/>
      <c r="EI24" s="530"/>
      <c r="EJ24" s="530"/>
      <c r="EK24" s="530"/>
      <c r="EL24" s="530"/>
      <c r="EM24" s="530"/>
      <c r="EN24" s="530"/>
      <c r="EO24" s="530"/>
      <c r="EP24" s="530"/>
      <c r="EQ24" s="530"/>
      <c r="ER24" s="530"/>
      <c r="ES24" s="530"/>
      <c r="ET24" s="530"/>
      <c r="EU24" s="530"/>
      <c r="EV24" s="530"/>
      <c r="EW24" s="530"/>
      <c r="EX24" s="530"/>
      <c r="EY24" s="530"/>
      <c r="EZ24" s="530"/>
      <c r="FA24" s="530"/>
      <c r="FB24" s="530"/>
      <c r="FC24" s="530"/>
      <c r="FD24" s="530"/>
      <c r="FE24" s="530"/>
      <c r="FF24" s="530"/>
      <c r="FG24" s="530"/>
      <c r="FH24" s="530"/>
      <c r="FI24" s="530"/>
      <c r="FJ24" s="530"/>
      <c r="FK24" s="530"/>
      <c r="FL24" s="530"/>
      <c r="FM24" s="530"/>
      <c r="FN24" s="530"/>
      <c r="FO24" s="530"/>
      <c r="FP24" s="530"/>
      <c r="FQ24" s="530"/>
      <c r="FR24" s="530"/>
      <c r="FS24" s="530"/>
      <c r="FT24" s="530"/>
      <c r="FU24" s="530"/>
      <c r="FV24" s="530"/>
      <c r="FW24" s="530"/>
      <c r="FX24" s="530"/>
      <c r="FY24" s="530"/>
      <c r="FZ24" s="530"/>
      <c r="GA24" s="530"/>
      <c r="GB24" s="530"/>
      <c r="GC24" s="530"/>
      <c r="GD24" s="530"/>
      <c r="GE24" s="530"/>
      <c r="GF24" s="530"/>
      <c r="GG24" s="530"/>
      <c r="GH24" s="530"/>
      <c r="GI24" s="530"/>
      <c r="GJ24" s="530"/>
      <c r="GK24" s="530"/>
      <c r="GL24" s="530"/>
      <c r="GM24" s="530"/>
      <c r="GN24" s="530"/>
      <c r="GO24" s="530"/>
      <c r="GP24" s="530"/>
      <c r="GQ24" s="530"/>
      <c r="GR24" s="530"/>
      <c r="GS24" s="530"/>
      <c r="GT24" s="530"/>
      <c r="GU24" s="530"/>
      <c r="GV24" s="530"/>
      <c r="GW24" s="530"/>
      <c r="GX24" s="530"/>
      <c r="GY24" s="530"/>
      <c r="GZ24" s="530"/>
      <c r="HA24" s="530"/>
      <c r="HB24" s="530"/>
      <c r="HC24" s="530"/>
      <c r="HD24" s="530"/>
      <c r="HE24" s="530"/>
      <c r="HF24" s="530"/>
      <c r="HG24" s="530"/>
      <c r="HH24" s="530"/>
      <c r="HI24" s="530"/>
      <c r="HJ24" s="530"/>
      <c r="HK24" s="530"/>
      <c r="HL24" s="530"/>
      <c r="HM24" s="530"/>
      <c r="HN24" s="530"/>
      <c r="HO24" s="530"/>
      <c r="HP24" s="530"/>
      <c r="HQ24" s="530"/>
      <c r="HR24" s="530"/>
      <c r="HS24" s="530"/>
      <c r="HT24" s="530"/>
      <c r="HU24" s="530"/>
      <c r="HV24" s="530"/>
      <c r="HW24" s="530"/>
      <c r="HX24" s="530"/>
      <c r="HY24" s="530"/>
      <c r="HZ24" s="530"/>
      <c r="IA24" s="530"/>
      <c r="IB24" s="530"/>
      <c r="IC24" s="530"/>
      <c r="ID24" s="530"/>
      <c r="IE24" s="530"/>
      <c r="IF24" s="530"/>
      <c r="IG24" s="530"/>
      <c r="IH24" s="530"/>
      <c r="II24" s="530"/>
      <c r="IJ24" s="530"/>
      <c r="IK24" s="530"/>
      <c r="IL24" s="530"/>
      <c r="IM24" s="530"/>
      <c r="IN24" s="530"/>
      <c r="IO24" s="530"/>
      <c r="IP24" s="530"/>
      <c r="IQ24" s="530"/>
      <c r="IR24" s="530"/>
      <c r="IS24" s="530"/>
      <c r="IT24" s="530"/>
    </row>
    <row r="25" spans="1:254" ht="11.1" customHeight="1" x14ac:dyDescent="0.2">
      <c r="A25" s="547" t="s">
        <v>1963</v>
      </c>
      <c r="B25" s="548">
        <f t="shared" si="0"/>
        <v>49392</v>
      </c>
      <c r="C25" s="549" t="s">
        <v>1948</v>
      </c>
      <c r="D25" s="550">
        <f>G25*12</f>
        <v>1584</v>
      </c>
      <c r="E25" s="548">
        <v>4116</v>
      </c>
      <c r="F25" s="551" t="s">
        <v>1948</v>
      </c>
      <c r="G25" s="551">
        <v>132</v>
      </c>
      <c r="H25" s="547">
        <f t="shared" si="1"/>
        <v>0</v>
      </c>
      <c r="I25" s="547" t="s">
        <v>1963</v>
      </c>
      <c r="J25" s="548">
        <f t="shared" si="2"/>
        <v>49392</v>
      </c>
      <c r="K25" s="549" t="s">
        <v>1948</v>
      </c>
      <c r="L25" s="550">
        <f>O25*12</f>
        <v>1584</v>
      </c>
      <c r="M25" s="548">
        <v>4116</v>
      </c>
      <c r="N25" s="551" t="s">
        <v>1948</v>
      </c>
      <c r="O25" s="551">
        <v>132</v>
      </c>
      <c r="P25" s="545"/>
      <c r="Q25" s="546"/>
      <c r="R25" s="546"/>
      <c r="S25" s="530"/>
      <c r="T25" s="530"/>
      <c r="U25" s="530"/>
      <c r="V25" s="530"/>
      <c r="W25" s="530"/>
      <c r="X25" s="530"/>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0"/>
      <c r="CA25" s="530"/>
      <c r="CB25" s="530"/>
      <c r="CC25" s="530"/>
      <c r="CD25" s="530"/>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0"/>
      <c r="DV25" s="530"/>
      <c r="DW25" s="530"/>
      <c r="DX25" s="530"/>
      <c r="DY25" s="530"/>
      <c r="DZ25" s="530"/>
      <c r="EA25" s="530"/>
      <c r="EB25" s="530"/>
      <c r="EC25" s="530"/>
      <c r="ED25" s="530"/>
      <c r="EE25" s="530"/>
      <c r="EF25" s="530"/>
      <c r="EG25" s="530"/>
      <c r="EH25" s="530"/>
      <c r="EI25" s="530"/>
      <c r="EJ25" s="530"/>
      <c r="EK25" s="530"/>
      <c r="EL25" s="530"/>
      <c r="EM25" s="530"/>
      <c r="EN25" s="530"/>
      <c r="EO25" s="530"/>
      <c r="EP25" s="530"/>
      <c r="EQ25" s="530"/>
      <c r="ER25" s="530"/>
      <c r="ES25" s="530"/>
      <c r="ET25" s="530"/>
      <c r="EU25" s="530"/>
      <c r="EV25" s="530"/>
      <c r="EW25" s="530"/>
      <c r="EX25" s="530"/>
      <c r="EY25" s="530"/>
      <c r="EZ25" s="530"/>
      <c r="FA25" s="530"/>
      <c r="FB25" s="530"/>
      <c r="FC25" s="530"/>
      <c r="FD25" s="530"/>
      <c r="FE25" s="530"/>
      <c r="FF25" s="530"/>
      <c r="FG25" s="530"/>
      <c r="FH25" s="530"/>
      <c r="FI25" s="530"/>
      <c r="FJ25" s="530"/>
      <c r="FK25" s="530"/>
      <c r="FL25" s="530"/>
      <c r="FM25" s="530"/>
      <c r="FN25" s="530"/>
      <c r="FO25" s="530"/>
      <c r="FP25" s="530"/>
      <c r="FQ25" s="530"/>
      <c r="FR25" s="530"/>
      <c r="FS25" s="530"/>
      <c r="FT25" s="530"/>
      <c r="FU25" s="530"/>
      <c r="FV25" s="530"/>
      <c r="FW25" s="530"/>
      <c r="FX25" s="530"/>
      <c r="FY25" s="530"/>
      <c r="FZ25" s="530"/>
      <c r="GA25" s="530"/>
      <c r="GB25" s="530"/>
      <c r="GC25" s="530"/>
      <c r="GD25" s="530"/>
      <c r="GE25" s="530"/>
      <c r="GF25" s="530"/>
      <c r="GG25" s="530"/>
      <c r="GH25" s="530"/>
      <c r="GI25" s="530"/>
      <c r="GJ25" s="530"/>
      <c r="GK25" s="530"/>
      <c r="GL25" s="530"/>
      <c r="GM25" s="530"/>
      <c r="GN25" s="530"/>
      <c r="GO25" s="530"/>
      <c r="GP25" s="530"/>
      <c r="GQ25" s="530"/>
      <c r="GR25" s="530"/>
      <c r="GS25" s="530"/>
      <c r="GT25" s="530"/>
      <c r="GU25" s="530"/>
      <c r="GV25" s="530"/>
      <c r="GW25" s="530"/>
      <c r="GX25" s="530"/>
      <c r="GY25" s="530"/>
      <c r="GZ25" s="530"/>
      <c r="HA25" s="530"/>
      <c r="HB25" s="530"/>
      <c r="HC25" s="530"/>
      <c r="HD25" s="530"/>
      <c r="HE25" s="530"/>
      <c r="HF25" s="530"/>
      <c r="HG25" s="530"/>
      <c r="HH25" s="530"/>
      <c r="HI25" s="530"/>
      <c r="HJ25" s="530"/>
      <c r="HK25" s="530"/>
      <c r="HL25" s="530"/>
      <c r="HM25" s="530"/>
      <c r="HN25" s="530"/>
      <c r="HO25" s="530"/>
      <c r="HP25" s="530"/>
      <c r="HQ25" s="530"/>
      <c r="HR25" s="530"/>
      <c r="HS25" s="530"/>
      <c r="HT25" s="530"/>
      <c r="HU25" s="530"/>
      <c r="HV25" s="530"/>
      <c r="HW25" s="530"/>
      <c r="HX25" s="530"/>
      <c r="HY25" s="530"/>
      <c r="HZ25" s="530"/>
      <c r="IA25" s="530"/>
      <c r="IB25" s="530"/>
      <c r="IC25" s="530"/>
      <c r="ID25" s="530"/>
      <c r="IE25" s="530"/>
      <c r="IF25" s="530"/>
      <c r="IG25" s="530"/>
      <c r="IH25" s="530"/>
      <c r="II25" s="530"/>
      <c r="IJ25" s="530"/>
      <c r="IK25" s="530"/>
      <c r="IL25" s="530"/>
      <c r="IM25" s="530"/>
      <c r="IN25" s="530"/>
      <c r="IO25" s="530"/>
      <c r="IP25" s="530"/>
      <c r="IQ25" s="530"/>
      <c r="IR25" s="530"/>
      <c r="IS25" s="530"/>
      <c r="IT25" s="530"/>
    </row>
    <row r="26" spans="1:254" ht="11.1" customHeight="1" x14ac:dyDescent="0.2">
      <c r="A26" s="552" t="s">
        <v>1964</v>
      </c>
      <c r="B26" s="553">
        <f t="shared" si="0"/>
        <v>47808</v>
      </c>
      <c r="C26" s="554"/>
      <c r="D26" s="555"/>
      <c r="E26" s="553">
        <v>3984</v>
      </c>
      <c r="F26" s="556"/>
      <c r="G26" s="556"/>
      <c r="H26" s="552">
        <f t="shared" si="1"/>
        <v>0</v>
      </c>
      <c r="I26" s="552" t="s">
        <v>1964</v>
      </c>
      <c r="J26" s="553">
        <f t="shared" si="2"/>
        <v>47808</v>
      </c>
      <c r="K26" s="554"/>
      <c r="L26" s="555"/>
      <c r="M26" s="553">
        <v>3984</v>
      </c>
      <c r="N26" s="556"/>
      <c r="O26" s="556"/>
      <c r="P26" s="545"/>
      <c r="Q26" s="546"/>
      <c r="R26" s="546"/>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0"/>
      <c r="AY26" s="530"/>
      <c r="AZ26" s="530"/>
      <c r="BA26" s="530"/>
      <c r="BB26" s="530"/>
      <c r="BC26" s="530"/>
      <c r="BD26" s="530"/>
      <c r="BE26" s="530"/>
      <c r="BF26" s="530"/>
      <c r="BG26" s="530"/>
      <c r="BH26" s="530"/>
      <c r="BI26" s="530"/>
      <c r="BJ26" s="530"/>
      <c r="BK26" s="530"/>
      <c r="BL26" s="530"/>
      <c r="BM26" s="530"/>
      <c r="BN26" s="530"/>
      <c r="BO26" s="530"/>
      <c r="BP26" s="530"/>
      <c r="BQ26" s="530"/>
      <c r="BR26" s="530"/>
      <c r="BS26" s="530"/>
      <c r="BT26" s="530"/>
      <c r="BU26" s="530"/>
      <c r="BV26" s="530"/>
      <c r="BW26" s="530"/>
      <c r="BX26" s="530"/>
      <c r="BY26" s="530"/>
      <c r="BZ26" s="530"/>
      <c r="CA26" s="530"/>
      <c r="CB26" s="530"/>
      <c r="CC26" s="530"/>
      <c r="CD26" s="530"/>
      <c r="CE26" s="530"/>
      <c r="CF26" s="530"/>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0"/>
      <c r="DC26" s="530"/>
      <c r="DD26" s="530"/>
      <c r="DE26" s="530"/>
      <c r="DF26" s="530"/>
      <c r="DG26" s="530"/>
      <c r="DH26" s="530"/>
      <c r="DI26" s="530"/>
      <c r="DJ26" s="530"/>
      <c r="DK26" s="530"/>
      <c r="DL26" s="530"/>
      <c r="DM26" s="530"/>
      <c r="DN26" s="530"/>
      <c r="DO26" s="530"/>
      <c r="DP26" s="530"/>
      <c r="DQ26" s="530"/>
      <c r="DR26" s="530"/>
      <c r="DS26" s="530"/>
      <c r="DT26" s="530"/>
      <c r="DU26" s="530"/>
      <c r="DV26" s="530"/>
      <c r="DW26" s="530"/>
      <c r="DX26" s="530"/>
      <c r="DY26" s="530"/>
      <c r="DZ26" s="530"/>
      <c r="EA26" s="530"/>
      <c r="EB26" s="530"/>
      <c r="EC26" s="530"/>
      <c r="ED26" s="530"/>
      <c r="EE26" s="530"/>
      <c r="EF26" s="530"/>
      <c r="EG26" s="530"/>
      <c r="EH26" s="530"/>
      <c r="EI26" s="530"/>
      <c r="EJ26" s="530"/>
      <c r="EK26" s="530"/>
      <c r="EL26" s="530"/>
      <c r="EM26" s="530"/>
      <c r="EN26" s="530"/>
      <c r="EO26" s="530"/>
      <c r="EP26" s="530"/>
      <c r="EQ26" s="530"/>
      <c r="ER26" s="530"/>
      <c r="ES26" s="530"/>
      <c r="ET26" s="530"/>
      <c r="EU26" s="530"/>
      <c r="EV26" s="530"/>
      <c r="EW26" s="530"/>
      <c r="EX26" s="530"/>
      <c r="EY26" s="530"/>
      <c r="EZ26" s="530"/>
      <c r="FA26" s="530"/>
      <c r="FB26" s="530"/>
      <c r="FC26" s="530"/>
      <c r="FD26" s="530"/>
      <c r="FE26" s="530"/>
      <c r="FF26" s="530"/>
      <c r="FG26" s="530"/>
      <c r="FH26" s="530"/>
      <c r="FI26" s="530"/>
      <c r="FJ26" s="530"/>
      <c r="FK26" s="530"/>
      <c r="FL26" s="530"/>
      <c r="FM26" s="530"/>
      <c r="FN26" s="530"/>
      <c r="FO26" s="530"/>
      <c r="FP26" s="530"/>
      <c r="FQ26" s="530"/>
      <c r="FR26" s="530"/>
      <c r="FS26" s="530"/>
      <c r="FT26" s="530"/>
      <c r="FU26" s="530"/>
      <c r="FV26" s="530"/>
      <c r="FW26" s="530"/>
      <c r="FX26" s="530"/>
      <c r="FY26" s="530"/>
      <c r="FZ26" s="530"/>
      <c r="GA26" s="530"/>
      <c r="GB26" s="530"/>
      <c r="GC26" s="530"/>
      <c r="GD26" s="530"/>
      <c r="GE26" s="530"/>
      <c r="GF26" s="530"/>
      <c r="GG26" s="530"/>
      <c r="GH26" s="530"/>
      <c r="GI26" s="530"/>
      <c r="GJ26" s="530"/>
      <c r="GK26" s="530"/>
      <c r="GL26" s="530"/>
      <c r="GM26" s="530"/>
      <c r="GN26" s="530"/>
      <c r="GO26" s="530"/>
      <c r="GP26" s="530"/>
      <c r="GQ26" s="530"/>
      <c r="GR26" s="530"/>
      <c r="GS26" s="530"/>
      <c r="GT26" s="530"/>
      <c r="GU26" s="530"/>
      <c r="GV26" s="530"/>
      <c r="GW26" s="530"/>
      <c r="GX26" s="530"/>
      <c r="GY26" s="530"/>
      <c r="GZ26" s="530"/>
      <c r="HA26" s="530"/>
      <c r="HB26" s="530"/>
      <c r="HC26" s="530"/>
      <c r="HD26" s="530"/>
      <c r="HE26" s="530"/>
      <c r="HF26" s="530"/>
      <c r="HG26" s="530"/>
      <c r="HH26" s="530"/>
      <c r="HI26" s="530"/>
      <c r="HJ26" s="530"/>
      <c r="HK26" s="530"/>
      <c r="HL26" s="530"/>
      <c r="HM26" s="530"/>
      <c r="HN26" s="530"/>
      <c r="HO26" s="530"/>
      <c r="HP26" s="530"/>
      <c r="HQ26" s="530"/>
      <c r="HR26" s="530"/>
      <c r="HS26" s="530"/>
      <c r="HT26" s="530"/>
      <c r="HU26" s="530"/>
      <c r="HV26" s="530"/>
      <c r="HW26" s="530"/>
      <c r="HX26" s="530"/>
      <c r="HY26" s="530"/>
      <c r="HZ26" s="530"/>
      <c r="IA26" s="530"/>
      <c r="IB26" s="530"/>
      <c r="IC26" s="530"/>
      <c r="ID26" s="530"/>
      <c r="IE26" s="530"/>
      <c r="IF26" s="530"/>
      <c r="IG26" s="530"/>
      <c r="IH26" s="530"/>
      <c r="II26" s="530"/>
      <c r="IJ26" s="530"/>
      <c r="IK26" s="530"/>
      <c r="IL26" s="530"/>
      <c r="IM26" s="530"/>
      <c r="IN26" s="530"/>
      <c r="IO26" s="530"/>
      <c r="IP26" s="530"/>
      <c r="IQ26" s="530"/>
      <c r="IR26" s="530"/>
      <c r="IS26" s="530"/>
      <c r="IT26" s="530"/>
    </row>
    <row r="27" spans="1:254" ht="11.1" customHeight="1" x14ac:dyDescent="0.2">
      <c r="A27" s="547" t="s">
        <v>1965</v>
      </c>
      <c r="B27" s="548">
        <f t="shared" si="0"/>
        <v>46296</v>
      </c>
      <c r="C27" s="549"/>
      <c r="D27" s="550"/>
      <c r="E27" s="548">
        <v>3858</v>
      </c>
      <c r="F27" s="551"/>
      <c r="G27" s="551"/>
      <c r="H27" s="547">
        <f t="shared" si="1"/>
        <v>0</v>
      </c>
      <c r="I27" s="547" t="s">
        <v>1965</v>
      </c>
      <c r="J27" s="548">
        <f t="shared" si="2"/>
        <v>46296</v>
      </c>
      <c r="K27" s="549"/>
      <c r="L27" s="550"/>
      <c r="M27" s="548">
        <v>3858</v>
      </c>
      <c r="N27" s="551"/>
      <c r="O27" s="551"/>
      <c r="P27" s="545"/>
      <c r="Q27" s="546"/>
      <c r="R27" s="546"/>
      <c r="S27" s="546"/>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0"/>
      <c r="AY27" s="530"/>
      <c r="AZ27" s="530"/>
      <c r="BA27" s="530"/>
      <c r="BB27" s="530"/>
      <c r="BC27" s="530"/>
      <c r="BD27" s="530"/>
      <c r="BE27" s="530"/>
      <c r="BF27" s="530"/>
      <c r="BG27" s="530"/>
      <c r="BH27" s="530"/>
      <c r="BI27" s="530"/>
      <c r="BJ27" s="530"/>
      <c r="BK27" s="530"/>
      <c r="BL27" s="530"/>
      <c r="BM27" s="530"/>
      <c r="BN27" s="530"/>
      <c r="BO27" s="530"/>
      <c r="BP27" s="530"/>
      <c r="BQ27" s="530"/>
      <c r="BR27" s="530"/>
      <c r="BS27" s="530"/>
      <c r="BT27" s="530"/>
      <c r="BU27" s="530"/>
      <c r="BV27" s="530"/>
      <c r="BW27" s="530"/>
      <c r="BX27" s="530"/>
      <c r="BY27" s="530"/>
      <c r="BZ27" s="530"/>
      <c r="CA27" s="530"/>
      <c r="CB27" s="530"/>
      <c r="CC27" s="530"/>
      <c r="CD27" s="530"/>
      <c r="CE27" s="530"/>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0"/>
      <c r="DG27" s="530"/>
      <c r="DH27" s="530"/>
      <c r="DI27" s="530"/>
      <c r="DJ27" s="530"/>
      <c r="DK27" s="530"/>
      <c r="DL27" s="530"/>
      <c r="DM27" s="530"/>
      <c r="DN27" s="530"/>
      <c r="DO27" s="530"/>
      <c r="DP27" s="530"/>
      <c r="DQ27" s="530"/>
      <c r="DR27" s="530"/>
      <c r="DS27" s="530"/>
      <c r="DT27" s="530"/>
      <c r="DU27" s="530"/>
      <c r="DV27" s="530"/>
      <c r="DW27" s="530"/>
      <c r="DX27" s="530"/>
      <c r="DY27" s="530"/>
      <c r="DZ27" s="530"/>
      <c r="EA27" s="530"/>
      <c r="EB27" s="530"/>
      <c r="EC27" s="530"/>
      <c r="ED27" s="530"/>
      <c r="EE27" s="530"/>
      <c r="EF27" s="530"/>
      <c r="EG27" s="530"/>
      <c r="EH27" s="530"/>
      <c r="EI27" s="530"/>
      <c r="EJ27" s="530"/>
      <c r="EK27" s="530"/>
      <c r="EL27" s="530"/>
      <c r="EM27" s="530"/>
      <c r="EN27" s="530"/>
      <c r="EO27" s="530"/>
      <c r="EP27" s="530"/>
      <c r="EQ27" s="530"/>
      <c r="ER27" s="530"/>
      <c r="ES27" s="530"/>
      <c r="ET27" s="530"/>
      <c r="EU27" s="530"/>
      <c r="EV27" s="530"/>
      <c r="EW27" s="530"/>
      <c r="EX27" s="530"/>
      <c r="EY27" s="530"/>
      <c r="EZ27" s="530"/>
      <c r="FA27" s="530"/>
      <c r="FB27" s="530"/>
      <c r="FC27" s="530"/>
      <c r="FD27" s="530"/>
      <c r="FE27" s="530"/>
      <c r="FF27" s="530"/>
      <c r="FG27" s="530"/>
      <c r="FH27" s="530"/>
      <c r="FI27" s="530"/>
      <c r="FJ27" s="530"/>
      <c r="FK27" s="530"/>
      <c r="FL27" s="530"/>
      <c r="FM27" s="530"/>
      <c r="FN27" s="530"/>
      <c r="FO27" s="530"/>
      <c r="FP27" s="530"/>
      <c r="FQ27" s="530"/>
      <c r="FR27" s="530"/>
      <c r="FS27" s="530"/>
      <c r="FT27" s="530"/>
      <c r="FU27" s="530"/>
      <c r="FV27" s="530"/>
      <c r="FW27" s="530"/>
      <c r="FX27" s="530"/>
      <c r="FY27" s="530"/>
      <c r="FZ27" s="530"/>
      <c r="GA27" s="530"/>
      <c r="GB27" s="530"/>
      <c r="GC27" s="530"/>
      <c r="GD27" s="530"/>
      <c r="GE27" s="530"/>
      <c r="GF27" s="530"/>
      <c r="GG27" s="530"/>
      <c r="GH27" s="530"/>
      <c r="GI27" s="530"/>
      <c r="GJ27" s="530"/>
      <c r="GK27" s="530"/>
      <c r="GL27" s="530"/>
      <c r="GM27" s="530"/>
      <c r="GN27" s="530"/>
      <c r="GO27" s="530"/>
      <c r="GP27" s="530"/>
      <c r="GQ27" s="530"/>
      <c r="GR27" s="530"/>
      <c r="GS27" s="530"/>
      <c r="GT27" s="530"/>
      <c r="GU27" s="530"/>
      <c r="GV27" s="530"/>
      <c r="GW27" s="530"/>
      <c r="GX27" s="530"/>
      <c r="GY27" s="530"/>
      <c r="GZ27" s="530"/>
      <c r="HA27" s="530"/>
      <c r="HB27" s="530"/>
      <c r="HC27" s="530"/>
      <c r="HD27" s="530"/>
      <c r="HE27" s="530"/>
      <c r="HF27" s="530"/>
      <c r="HG27" s="530"/>
      <c r="HH27" s="530"/>
      <c r="HI27" s="530"/>
      <c r="HJ27" s="530"/>
      <c r="HK27" s="530"/>
      <c r="HL27" s="530"/>
      <c r="HM27" s="530"/>
      <c r="HN27" s="530"/>
      <c r="HO27" s="530"/>
      <c r="HP27" s="530"/>
      <c r="HQ27" s="530"/>
      <c r="HR27" s="530"/>
      <c r="HS27" s="530"/>
      <c r="HT27" s="530"/>
      <c r="HU27" s="530"/>
      <c r="HV27" s="530"/>
      <c r="HW27" s="530"/>
      <c r="HX27" s="530"/>
      <c r="HY27" s="530"/>
      <c r="HZ27" s="530"/>
      <c r="IA27" s="530"/>
      <c r="IB27" s="530"/>
      <c r="IC27" s="530"/>
      <c r="ID27" s="530"/>
      <c r="IE27" s="530"/>
      <c r="IF27" s="530"/>
      <c r="IG27" s="530"/>
      <c r="IH27" s="530"/>
      <c r="II27" s="530"/>
      <c r="IJ27" s="530"/>
      <c r="IK27" s="530"/>
      <c r="IL27" s="530"/>
      <c r="IM27" s="530"/>
      <c r="IN27" s="530"/>
      <c r="IO27" s="530"/>
      <c r="IP27" s="530"/>
      <c r="IQ27" s="530"/>
      <c r="IR27" s="530"/>
      <c r="IS27" s="530"/>
      <c r="IT27" s="530"/>
    </row>
    <row r="28" spans="1:254" ht="11.1" customHeight="1" x14ac:dyDescent="0.2">
      <c r="A28" s="552" t="s">
        <v>1966</v>
      </c>
      <c r="B28" s="553">
        <f t="shared" si="0"/>
        <v>44784</v>
      </c>
      <c r="C28" s="554"/>
      <c r="D28" s="555"/>
      <c r="E28" s="553">
        <v>3732</v>
      </c>
      <c r="F28" s="556"/>
      <c r="G28" s="556"/>
      <c r="H28" s="552">
        <f t="shared" si="1"/>
        <v>0</v>
      </c>
      <c r="I28" s="552" t="s">
        <v>1966</v>
      </c>
      <c r="J28" s="553">
        <f t="shared" si="2"/>
        <v>44784</v>
      </c>
      <c r="K28" s="554"/>
      <c r="L28" s="555"/>
      <c r="M28" s="553">
        <v>3732</v>
      </c>
      <c r="N28" s="556"/>
      <c r="O28" s="556"/>
      <c r="P28" s="545"/>
      <c r="Q28" s="546"/>
      <c r="R28" s="546"/>
      <c r="S28" s="546"/>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0"/>
      <c r="BD28" s="530"/>
      <c r="BE28" s="530"/>
      <c r="BF28" s="530"/>
      <c r="BG28" s="530"/>
      <c r="BH28" s="530"/>
      <c r="BI28" s="530"/>
      <c r="BJ28" s="530"/>
      <c r="BK28" s="530"/>
      <c r="BL28" s="530"/>
      <c r="BM28" s="530"/>
      <c r="BN28" s="530"/>
      <c r="BO28" s="530"/>
      <c r="BP28" s="530"/>
      <c r="BQ28" s="530"/>
      <c r="BR28" s="530"/>
      <c r="BS28" s="530"/>
      <c r="BT28" s="530"/>
      <c r="BU28" s="530"/>
      <c r="BV28" s="530"/>
      <c r="BW28" s="530"/>
      <c r="BX28" s="530"/>
      <c r="BY28" s="530"/>
      <c r="BZ28" s="530"/>
      <c r="CA28" s="530"/>
      <c r="CB28" s="530"/>
      <c r="CC28" s="530"/>
      <c r="CD28" s="530"/>
      <c r="CE28" s="530"/>
      <c r="CF28" s="530"/>
      <c r="CG28" s="530"/>
      <c r="CH28" s="530"/>
      <c r="CI28" s="530"/>
      <c r="CJ28" s="530"/>
      <c r="CK28" s="530"/>
      <c r="CL28" s="530"/>
      <c r="CM28" s="530"/>
      <c r="CN28" s="530"/>
      <c r="CO28" s="530"/>
      <c r="CP28" s="530"/>
      <c r="CQ28" s="530"/>
      <c r="CR28" s="530"/>
      <c r="CS28" s="530"/>
      <c r="CT28" s="530"/>
      <c r="CU28" s="530"/>
      <c r="CV28" s="530"/>
      <c r="CW28" s="530"/>
      <c r="CX28" s="530"/>
      <c r="CY28" s="530"/>
      <c r="CZ28" s="530"/>
      <c r="DA28" s="530"/>
      <c r="DB28" s="530"/>
      <c r="DC28" s="530"/>
      <c r="DD28" s="530"/>
      <c r="DE28" s="530"/>
      <c r="DF28" s="530"/>
      <c r="DG28" s="530"/>
      <c r="DH28" s="530"/>
      <c r="DI28" s="530"/>
      <c r="DJ28" s="530"/>
      <c r="DK28" s="530"/>
      <c r="DL28" s="530"/>
      <c r="DM28" s="530"/>
      <c r="DN28" s="530"/>
      <c r="DO28" s="530"/>
      <c r="DP28" s="530"/>
      <c r="DQ28" s="530"/>
      <c r="DR28" s="530"/>
      <c r="DS28" s="530"/>
      <c r="DT28" s="530"/>
      <c r="DU28" s="530"/>
      <c r="DV28" s="530"/>
      <c r="DW28" s="530"/>
      <c r="DX28" s="530"/>
      <c r="DY28" s="530"/>
      <c r="DZ28" s="530"/>
      <c r="EA28" s="530"/>
      <c r="EB28" s="530"/>
      <c r="EC28" s="530"/>
      <c r="ED28" s="530"/>
      <c r="EE28" s="530"/>
      <c r="EF28" s="530"/>
      <c r="EG28" s="530"/>
      <c r="EH28" s="530"/>
      <c r="EI28" s="530"/>
      <c r="EJ28" s="530"/>
      <c r="EK28" s="530"/>
      <c r="EL28" s="530"/>
      <c r="EM28" s="530"/>
      <c r="EN28" s="530"/>
      <c r="EO28" s="530"/>
      <c r="EP28" s="530"/>
      <c r="EQ28" s="530"/>
      <c r="ER28" s="530"/>
      <c r="ES28" s="530"/>
      <c r="ET28" s="530"/>
      <c r="EU28" s="530"/>
      <c r="EV28" s="530"/>
      <c r="EW28" s="530"/>
      <c r="EX28" s="530"/>
      <c r="EY28" s="530"/>
      <c r="EZ28" s="530"/>
      <c r="FA28" s="530"/>
      <c r="FB28" s="530"/>
      <c r="FC28" s="530"/>
      <c r="FD28" s="530"/>
      <c r="FE28" s="530"/>
      <c r="FF28" s="530"/>
      <c r="FG28" s="530"/>
      <c r="FH28" s="530"/>
      <c r="FI28" s="530"/>
      <c r="FJ28" s="530"/>
      <c r="FK28" s="530"/>
      <c r="FL28" s="530"/>
      <c r="FM28" s="530"/>
      <c r="FN28" s="530"/>
      <c r="FO28" s="530"/>
      <c r="FP28" s="530"/>
      <c r="FQ28" s="530"/>
      <c r="FR28" s="530"/>
      <c r="FS28" s="530"/>
      <c r="FT28" s="530"/>
      <c r="FU28" s="530"/>
      <c r="FV28" s="530"/>
      <c r="FW28" s="530"/>
      <c r="FX28" s="530"/>
      <c r="FY28" s="530"/>
      <c r="FZ28" s="530"/>
      <c r="GA28" s="530"/>
      <c r="GB28" s="530"/>
      <c r="GC28" s="530"/>
      <c r="GD28" s="530"/>
      <c r="GE28" s="530"/>
      <c r="GF28" s="530"/>
      <c r="GG28" s="530"/>
      <c r="GH28" s="530"/>
      <c r="GI28" s="530"/>
      <c r="GJ28" s="530"/>
      <c r="GK28" s="530"/>
      <c r="GL28" s="530"/>
      <c r="GM28" s="530"/>
      <c r="GN28" s="530"/>
      <c r="GO28" s="530"/>
      <c r="GP28" s="530"/>
      <c r="GQ28" s="530"/>
      <c r="GR28" s="530"/>
      <c r="GS28" s="530"/>
      <c r="GT28" s="530"/>
      <c r="GU28" s="530"/>
      <c r="GV28" s="530"/>
      <c r="GW28" s="530"/>
      <c r="GX28" s="530"/>
      <c r="GY28" s="530"/>
      <c r="GZ28" s="530"/>
      <c r="HA28" s="530"/>
      <c r="HB28" s="530"/>
      <c r="HC28" s="530"/>
      <c r="HD28" s="530"/>
      <c r="HE28" s="530"/>
      <c r="HF28" s="530"/>
      <c r="HG28" s="530"/>
      <c r="HH28" s="530"/>
      <c r="HI28" s="530"/>
      <c r="HJ28" s="530"/>
      <c r="HK28" s="530"/>
      <c r="HL28" s="530"/>
      <c r="HM28" s="530"/>
      <c r="HN28" s="530"/>
      <c r="HO28" s="530"/>
      <c r="HP28" s="530"/>
      <c r="HQ28" s="530"/>
      <c r="HR28" s="530"/>
      <c r="HS28" s="530"/>
      <c r="HT28" s="530"/>
      <c r="HU28" s="530"/>
      <c r="HV28" s="530"/>
      <c r="HW28" s="530"/>
      <c r="HX28" s="530"/>
      <c r="HY28" s="530"/>
      <c r="HZ28" s="530"/>
      <c r="IA28" s="530"/>
      <c r="IB28" s="530"/>
      <c r="IC28" s="530"/>
      <c r="ID28" s="530"/>
      <c r="IE28" s="530"/>
      <c r="IF28" s="530"/>
      <c r="IG28" s="530"/>
      <c r="IH28" s="530"/>
      <c r="II28" s="530"/>
      <c r="IJ28" s="530"/>
      <c r="IK28" s="530"/>
      <c r="IL28" s="530"/>
      <c r="IM28" s="530"/>
      <c r="IN28" s="530"/>
      <c r="IO28" s="530"/>
      <c r="IP28" s="530"/>
      <c r="IQ28" s="530"/>
      <c r="IR28" s="530"/>
      <c r="IS28" s="530"/>
      <c r="IT28" s="530"/>
    </row>
    <row r="29" spans="1:254" ht="11.1" customHeight="1" x14ac:dyDescent="0.2">
      <c r="A29" s="547" t="s">
        <v>1967</v>
      </c>
      <c r="B29" s="548">
        <f t="shared" si="0"/>
        <v>43272</v>
      </c>
      <c r="C29" s="549"/>
      <c r="D29" s="550"/>
      <c r="E29" s="548">
        <v>3606</v>
      </c>
      <c r="F29" s="551"/>
      <c r="G29" s="551"/>
      <c r="H29" s="547">
        <f t="shared" si="1"/>
        <v>0</v>
      </c>
      <c r="I29" s="547" t="s">
        <v>1967</v>
      </c>
      <c r="J29" s="548">
        <f t="shared" si="2"/>
        <v>43272</v>
      </c>
      <c r="K29" s="549"/>
      <c r="L29" s="550"/>
      <c r="M29" s="548">
        <v>3606</v>
      </c>
      <c r="N29" s="551"/>
      <c r="O29" s="551"/>
      <c r="P29" s="545"/>
      <c r="Q29" s="546"/>
      <c r="R29" s="546"/>
      <c r="S29" s="546"/>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0"/>
      <c r="AY29" s="530"/>
      <c r="AZ29" s="530"/>
      <c r="BA29" s="530"/>
      <c r="BB29" s="530"/>
      <c r="BC29" s="530"/>
      <c r="BD29" s="530"/>
      <c r="BE29" s="530"/>
      <c r="BF29" s="530"/>
      <c r="BG29" s="530"/>
      <c r="BH29" s="530"/>
      <c r="BI29" s="530"/>
      <c r="BJ29" s="530"/>
      <c r="BK29" s="530"/>
      <c r="BL29" s="530"/>
      <c r="BM29" s="530"/>
      <c r="BN29" s="530"/>
      <c r="BO29" s="530"/>
      <c r="BP29" s="530"/>
      <c r="BQ29" s="530"/>
      <c r="BR29" s="530"/>
      <c r="BS29" s="530"/>
      <c r="BT29" s="530"/>
      <c r="BU29" s="530"/>
      <c r="BV29" s="530"/>
      <c r="BW29" s="530"/>
      <c r="BX29" s="530"/>
      <c r="BY29" s="530"/>
      <c r="BZ29" s="530"/>
      <c r="CA29" s="530"/>
      <c r="CB29" s="530"/>
      <c r="CC29" s="530"/>
      <c r="CD29" s="530"/>
      <c r="CE29" s="530"/>
      <c r="CF29" s="530"/>
      <c r="CG29" s="530"/>
      <c r="CH29" s="530"/>
      <c r="CI29" s="530"/>
      <c r="CJ29" s="530"/>
      <c r="CK29" s="530"/>
      <c r="CL29" s="530"/>
      <c r="CM29" s="530"/>
      <c r="CN29" s="530"/>
      <c r="CO29" s="530"/>
      <c r="CP29" s="530"/>
      <c r="CQ29" s="530"/>
      <c r="CR29" s="530"/>
      <c r="CS29" s="530"/>
      <c r="CT29" s="530"/>
      <c r="CU29" s="530"/>
      <c r="CV29" s="530"/>
      <c r="CW29" s="530"/>
      <c r="CX29" s="530"/>
      <c r="CY29" s="530"/>
      <c r="CZ29" s="530"/>
      <c r="DA29" s="530"/>
      <c r="DB29" s="530"/>
      <c r="DC29" s="530"/>
      <c r="DD29" s="530"/>
      <c r="DE29" s="530"/>
      <c r="DF29" s="530"/>
      <c r="DG29" s="530"/>
      <c r="DH29" s="530"/>
      <c r="DI29" s="530"/>
      <c r="DJ29" s="530"/>
      <c r="DK29" s="530"/>
      <c r="DL29" s="530"/>
      <c r="DM29" s="530"/>
      <c r="DN29" s="530"/>
      <c r="DO29" s="530"/>
      <c r="DP29" s="530"/>
      <c r="DQ29" s="530"/>
      <c r="DR29" s="530"/>
      <c r="DS29" s="530"/>
      <c r="DT29" s="530"/>
      <c r="DU29" s="530"/>
      <c r="DV29" s="530"/>
      <c r="DW29" s="530"/>
      <c r="DX29" s="530"/>
      <c r="DY29" s="530"/>
      <c r="DZ29" s="530"/>
      <c r="EA29" s="530"/>
      <c r="EB29" s="530"/>
      <c r="EC29" s="530"/>
      <c r="ED29" s="530"/>
      <c r="EE29" s="530"/>
      <c r="EF29" s="530"/>
      <c r="EG29" s="530"/>
      <c r="EH29" s="530"/>
      <c r="EI29" s="530"/>
      <c r="EJ29" s="530"/>
      <c r="EK29" s="530"/>
      <c r="EL29" s="530"/>
      <c r="EM29" s="530"/>
      <c r="EN29" s="530"/>
      <c r="EO29" s="530"/>
      <c r="EP29" s="530"/>
      <c r="EQ29" s="530"/>
      <c r="ER29" s="530"/>
      <c r="ES29" s="530"/>
      <c r="ET29" s="530"/>
      <c r="EU29" s="530"/>
      <c r="EV29" s="530"/>
      <c r="EW29" s="530"/>
      <c r="EX29" s="530"/>
      <c r="EY29" s="530"/>
      <c r="EZ29" s="530"/>
      <c r="FA29" s="530"/>
      <c r="FB29" s="530"/>
      <c r="FC29" s="530"/>
      <c r="FD29" s="530"/>
      <c r="FE29" s="530"/>
      <c r="FF29" s="530"/>
      <c r="FG29" s="530"/>
      <c r="FH29" s="530"/>
      <c r="FI29" s="530"/>
      <c r="FJ29" s="530"/>
      <c r="FK29" s="530"/>
      <c r="FL29" s="530"/>
      <c r="FM29" s="530"/>
      <c r="FN29" s="530"/>
      <c r="FO29" s="530"/>
      <c r="FP29" s="530"/>
      <c r="FQ29" s="530"/>
      <c r="FR29" s="530"/>
      <c r="FS29" s="530"/>
      <c r="FT29" s="530"/>
      <c r="FU29" s="530"/>
      <c r="FV29" s="530"/>
      <c r="FW29" s="530"/>
      <c r="FX29" s="530"/>
      <c r="FY29" s="530"/>
      <c r="FZ29" s="530"/>
      <c r="GA29" s="530"/>
      <c r="GB29" s="530"/>
      <c r="GC29" s="530"/>
      <c r="GD29" s="530"/>
      <c r="GE29" s="530"/>
      <c r="GF29" s="530"/>
      <c r="GG29" s="530"/>
      <c r="GH29" s="530"/>
      <c r="GI29" s="530"/>
      <c r="GJ29" s="530"/>
      <c r="GK29" s="530"/>
      <c r="GL29" s="530"/>
      <c r="GM29" s="530"/>
      <c r="GN29" s="530"/>
      <c r="GO29" s="530"/>
      <c r="GP29" s="530"/>
      <c r="GQ29" s="530"/>
      <c r="GR29" s="530"/>
      <c r="GS29" s="530"/>
      <c r="GT29" s="530"/>
      <c r="GU29" s="530"/>
      <c r="GV29" s="530"/>
      <c r="GW29" s="530"/>
      <c r="GX29" s="530"/>
      <c r="GY29" s="530"/>
      <c r="GZ29" s="530"/>
      <c r="HA29" s="530"/>
      <c r="HB29" s="530"/>
      <c r="HC29" s="530"/>
      <c r="HD29" s="530"/>
      <c r="HE29" s="530"/>
      <c r="HF29" s="530"/>
      <c r="HG29" s="530"/>
      <c r="HH29" s="530"/>
      <c r="HI29" s="530"/>
      <c r="HJ29" s="530"/>
      <c r="HK29" s="530"/>
      <c r="HL29" s="530"/>
      <c r="HM29" s="530"/>
      <c r="HN29" s="530"/>
      <c r="HO29" s="530"/>
      <c r="HP29" s="530"/>
      <c r="HQ29" s="530"/>
      <c r="HR29" s="530"/>
      <c r="HS29" s="530"/>
      <c r="HT29" s="530"/>
      <c r="HU29" s="530"/>
      <c r="HV29" s="530"/>
      <c r="HW29" s="530"/>
      <c r="HX29" s="530"/>
      <c r="HY29" s="530"/>
      <c r="HZ29" s="530"/>
      <c r="IA29" s="530"/>
      <c r="IB29" s="530"/>
      <c r="IC29" s="530"/>
      <c r="ID29" s="530"/>
      <c r="IE29" s="530"/>
      <c r="IF29" s="530"/>
      <c r="IG29" s="530"/>
      <c r="IH29" s="530"/>
      <c r="II29" s="530"/>
      <c r="IJ29" s="530"/>
      <c r="IK29" s="530"/>
      <c r="IL29" s="530"/>
      <c r="IM29" s="530"/>
      <c r="IN29" s="530"/>
      <c r="IO29" s="530"/>
      <c r="IP29" s="530"/>
      <c r="IQ29" s="530"/>
      <c r="IR29" s="530"/>
      <c r="IS29" s="530"/>
      <c r="IT29" s="530"/>
    </row>
    <row r="30" spans="1:254" ht="11.1" customHeight="1" x14ac:dyDescent="0.2">
      <c r="A30" s="552" t="s">
        <v>1968</v>
      </c>
      <c r="B30" s="553">
        <f t="shared" si="0"/>
        <v>41760</v>
      </c>
      <c r="C30" s="554"/>
      <c r="D30" s="555"/>
      <c r="E30" s="553">
        <v>3480</v>
      </c>
      <c r="F30" s="556"/>
      <c r="G30" s="556"/>
      <c r="H30" s="552">
        <f t="shared" si="1"/>
        <v>0</v>
      </c>
      <c r="I30" s="552" t="s">
        <v>1968</v>
      </c>
      <c r="J30" s="553">
        <f t="shared" si="2"/>
        <v>41760</v>
      </c>
      <c r="K30" s="554"/>
      <c r="L30" s="555"/>
      <c r="M30" s="553">
        <v>3480</v>
      </c>
      <c r="N30" s="556"/>
      <c r="O30" s="556"/>
      <c r="P30" s="545"/>
      <c r="Q30" s="546"/>
      <c r="R30" s="546"/>
      <c r="S30" s="546"/>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530"/>
      <c r="BQ30" s="530"/>
      <c r="BR30" s="530"/>
      <c r="BS30" s="530"/>
      <c r="BT30" s="530"/>
      <c r="BU30" s="530"/>
      <c r="BV30" s="530"/>
      <c r="BW30" s="530"/>
      <c r="BX30" s="530"/>
      <c r="BY30" s="530"/>
      <c r="BZ30" s="530"/>
      <c r="CA30" s="530"/>
      <c r="CB30" s="530"/>
      <c r="CC30" s="530"/>
      <c r="CD30" s="530"/>
      <c r="CE30" s="530"/>
      <c r="CF30" s="530"/>
      <c r="CG30" s="530"/>
      <c r="CH30" s="530"/>
      <c r="CI30" s="530"/>
      <c r="CJ30" s="530"/>
      <c r="CK30" s="530"/>
      <c r="CL30" s="530"/>
      <c r="CM30" s="530"/>
      <c r="CN30" s="530"/>
      <c r="CO30" s="530"/>
      <c r="CP30" s="530"/>
      <c r="CQ30" s="530"/>
      <c r="CR30" s="530"/>
      <c r="CS30" s="530"/>
      <c r="CT30" s="530"/>
      <c r="CU30" s="530"/>
      <c r="CV30" s="530"/>
      <c r="CW30" s="530"/>
      <c r="CX30" s="530"/>
      <c r="CY30" s="530"/>
      <c r="CZ30" s="530"/>
      <c r="DA30" s="530"/>
      <c r="DB30" s="530"/>
      <c r="DC30" s="530"/>
      <c r="DD30" s="530"/>
      <c r="DE30" s="530"/>
      <c r="DF30" s="530"/>
      <c r="DG30" s="530"/>
      <c r="DH30" s="530"/>
      <c r="DI30" s="530"/>
      <c r="DJ30" s="530"/>
      <c r="DK30" s="530"/>
      <c r="DL30" s="530"/>
      <c r="DM30" s="530"/>
      <c r="DN30" s="530"/>
      <c r="DO30" s="530"/>
      <c r="DP30" s="530"/>
      <c r="DQ30" s="530"/>
      <c r="DR30" s="530"/>
      <c r="DS30" s="530"/>
      <c r="DT30" s="530"/>
      <c r="DU30" s="530"/>
      <c r="DV30" s="530"/>
      <c r="DW30" s="530"/>
      <c r="DX30" s="530"/>
      <c r="DY30" s="530"/>
      <c r="DZ30" s="530"/>
      <c r="EA30" s="530"/>
      <c r="EB30" s="530"/>
      <c r="EC30" s="530"/>
      <c r="ED30" s="530"/>
      <c r="EE30" s="530"/>
      <c r="EF30" s="530"/>
      <c r="EG30" s="530"/>
      <c r="EH30" s="530"/>
      <c r="EI30" s="530"/>
      <c r="EJ30" s="530"/>
      <c r="EK30" s="530"/>
      <c r="EL30" s="530"/>
      <c r="EM30" s="530"/>
      <c r="EN30" s="530"/>
      <c r="EO30" s="530"/>
      <c r="EP30" s="530"/>
      <c r="EQ30" s="530"/>
      <c r="ER30" s="530"/>
      <c r="ES30" s="530"/>
      <c r="ET30" s="530"/>
      <c r="EU30" s="530"/>
      <c r="EV30" s="530"/>
      <c r="EW30" s="530"/>
      <c r="EX30" s="530"/>
      <c r="EY30" s="530"/>
      <c r="EZ30" s="530"/>
      <c r="FA30" s="530"/>
      <c r="FB30" s="530"/>
      <c r="FC30" s="530"/>
      <c r="FD30" s="530"/>
      <c r="FE30" s="530"/>
      <c r="FF30" s="530"/>
      <c r="FG30" s="530"/>
      <c r="FH30" s="530"/>
      <c r="FI30" s="530"/>
      <c r="FJ30" s="530"/>
      <c r="FK30" s="530"/>
      <c r="FL30" s="530"/>
      <c r="FM30" s="530"/>
      <c r="FN30" s="530"/>
      <c r="FO30" s="530"/>
      <c r="FP30" s="530"/>
      <c r="FQ30" s="530"/>
      <c r="FR30" s="530"/>
      <c r="FS30" s="530"/>
      <c r="FT30" s="530"/>
      <c r="FU30" s="530"/>
      <c r="FV30" s="530"/>
      <c r="FW30" s="530"/>
      <c r="FX30" s="530"/>
      <c r="FY30" s="530"/>
      <c r="FZ30" s="530"/>
      <c r="GA30" s="530"/>
      <c r="GB30" s="530"/>
      <c r="GC30" s="530"/>
      <c r="GD30" s="530"/>
      <c r="GE30" s="530"/>
      <c r="GF30" s="530"/>
      <c r="GG30" s="530"/>
      <c r="GH30" s="530"/>
      <c r="GI30" s="530"/>
      <c r="GJ30" s="530"/>
      <c r="GK30" s="530"/>
      <c r="GL30" s="530"/>
      <c r="GM30" s="530"/>
      <c r="GN30" s="530"/>
      <c r="GO30" s="530"/>
      <c r="GP30" s="530"/>
      <c r="GQ30" s="530"/>
      <c r="GR30" s="530"/>
      <c r="GS30" s="530"/>
      <c r="GT30" s="530"/>
      <c r="GU30" s="530"/>
      <c r="GV30" s="530"/>
      <c r="GW30" s="530"/>
      <c r="GX30" s="530"/>
      <c r="GY30" s="530"/>
      <c r="GZ30" s="530"/>
      <c r="HA30" s="530"/>
      <c r="HB30" s="530"/>
      <c r="HC30" s="530"/>
      <c r="HD30" s="530"/>
      <c r="HE30" s="530"/>
      <c r="HF30" s="530"/>
      <c r="HG30" s="530"/>
      <c r="HH30" s="530"/>
      <c r="HI30" s="530"/>
      <c r="HJ30" s="530"/>
      <c r="HK30" s="530"/>
      <c r="HL30" s="530"/>
      <c r="HM30" s="530"/>
      <c r="HN30" s="530"/>
      <c r="HO30" s="530"/>
      <c r="HP30" s="530"/>
      <c r="HQ30" s="530"/>
      <c r="HR30" s="530"/>
      <c r="HS30" s="530"/>
      <c r="HT30" s="530"/>
      <c r="HU30" s="530"/>
      <c r="HV30" s="530"/>
      <c r="HW30" s="530"/>
      <c r="HX30" s="530"/>
      <c r="HY30" s="530"/>
      <c r="HZ30" s="530"/>
      <c r="IA30" s="530"/>
      <c r="IB30" s="530"/>
      <c r="IC30" s="530"/>
      <c r="ID30" s="530"/>
      <c r="IE30" s="530"/>
      <c r="IF30" s="530"/>
      <c r="IG30" s="530"/>
      <c r="IH30" s="530"/>
      <c r="II30" s="530"/>
      <c r="IJ30" s="530"/>
      <c r="IK30" s="530"/>
      <c r="IL30" s="530"/>
      <c r="IM30" s="530"/>
      <c r="IN30" s="530"/>
      <c r="IO30" s="530"/>
      <c r="IP30" s="530"/>
      <c r="IQ30" s="530"/>
      <c r="IR30" s="530"/>
      <c r="IS30" s="530"/>
      <c r="IT30" s="530"/>
    </row>
    <row r="31" spans="1:254" ht="11.1" customHeight="1" x14ac:dyDescent="0.2">
      <c r="A31" s="547" t="s">
        <v>1969</v>
      </c>
      <c r="B31" s="548">
        <f t="shared" si="0"/>
        <v>40248</v>
      </c>
      <c r="C31" s="549"/>
      <c r="D31" s="550"/>
      <c r="E31" s="548">
        <v>3354</v>
      </c>
      <c r="F31" s="551"/>
      <c r="G31" s="551"/>
      <c r="H31" s="547">
        <f t="shared" si="1"/>
        <v>0</v>
      </c>
      <c r="I31" s="547" t="s">
        <v>1969</v>
      </c>
      <c r="J31" s="548">
        <f t="shared" si="2"/>
        <v>40248</v>
      </c>
      <c r="K31" s="549"/>
      <c r="L31" s="550"/>
      <c r="M31" s="548">
        <v>3354</v>
      </c>
      <c r="N31" s="551"/>
      <c r="O31" s="551"/>
      <c r="P31" s="545"/>
      <c r="Q31" s="546"/>
      <c r="R31" s="546"/>
      <c r="S31" s="557"/>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c r="DH31" s="530"/>
      <c r="DI31" s="530"/>
      <c r="DJ31" s="530"/>
      <c r="DK31" s="530"/>
      <c r="DL31" s="530"/>
      <c r="DM31" s="530"/>
      <c r="DN31" s="530"/>
      <c r="DO31" s="530"/>
      <c r="DP31" s="530"/>
      <c r="DQ31" s="530"/>
      <c r="DR31" s="530"/>
      <c r="DS31" s="530"/>
      <c r="DT31" s="530"/>
      <c r="DU31" s="530"/>
      <c r="DV31" s="530"/>
      <c r="DW31" s="530"/>
      <c r="DX31" s="530"/>
      <c r="DY31" s="530"/>
      <c r="DZ31" s="530"/>
      <c r="EA31" s="530"/>
      <c r="EB31" s="530"/>
      <c r="EC31" s="530"/>
      <c r="ED31" s="530"/>
      <c r="EE31" s="530"/>
      <c r="EF31" s="530"/>
      <c r="EG31" s="530"/>
      <c r="EH31" s="530"/>
      <c r="EI31" s="530"/>
      <c r="EJ31" s="530"/>
      <c r="EK31" s="530"/>
      <c r="EL31" s="530"/>
      <c r="EM31" s="530"/>
      <c r="EN31" s="530"/>
      <c r="EO31" s="530"/>
      <c r="EP31" s="530"/>
      <c r="EQ31" s="530"/>
      <c r="ER31" s="530"/>
      <c r="ES31" s="530"/>
      <c r="ET31" s="530"/>
      <c r="EU31" s="530"/>
      <c r="EV31" s="530"/>
      <c r="EW31" s="530"/>
      <c r="EX31" s="530"/>
      <c r="EY31" s="530"/>
      <c r="EZ31" s="530"/>
      <c r="FA31" s="530"/>
      <c r="FB31" s="530"/>
      <c r="FC31" s="530"/>
      <c r="FD31" s="530"/>
      <c r="FE31" s="530"/>
      <c r="FF31" s="530"/>
      <c r="FG31" s="530"/>
      <c r="FH31" s="530"/>
      <c r="FI31" s="530"/>
      <c r="FJ31" s="530"/>
      <c r="FK31" s="530"/>
      <c r="FL31" s="530"/>
      <c r="FM31" s="530"/>
      <c r="FN31" s="530"/>
      <c r="FO31" s="530"/>
      <c r="FP31" s="530"/>
      <c r="FQ31" s="530"/>
      <c r="FR31" s="530"/>
      <c r="FS31" s="530"/>
      <c r="FT31" s="530"/>
      <c r="FU31" s="530"/>
      <c r="FV31" s="530"/>
      <c r="FW31" s="530"/>
      <c r="FX31" s="530"/>
      <c r="FY31" s="530"/>
      <c r="FZ31" s="530"/>
      <c r="GA31" s="530"/>
      <c r="GB31" s="530"/>
      <c r="GC31" s="530"/>
      <c r="GD31" s="530"/>
      <c r="GE31" s="530"/>
      <c r="GF31" s="530"/>
      <c r="GG31" s="530"/>
      <c r="GH31" s="530"/>
      <c r="GI31" s="530"/>
      <c r="GJ31" s="530"/>
      <c r="GK31" s="530"/>
      <c r="GL31" s="530"/>
      <c r="GM31" s="530"/>
      <c r="GN31" s="530"/>
      <c r="GO31" s="530"/>
      <c r="GP31" s="530"/>
      <c r="GQ31" s="530"/>
      <c r="GR31" s="530"/>
      <c r="GS31" s="530"/>
      <c r="GT31" s="530"/>
      <c r="GU31" s="530"/>
      <c r="GV31" s="530"/>
      <c r="GW31" s="530"/>
      <c r="GX31" s="530"/>
      <c r="GY31" s="530"/>
      <c r="GZ31" s="530"/>
      <c r="HA31" s="530"/>
      <c r="HB31" s="530"/>
      <c r="HC31" s="530"/>
      <c r="HD31" s="530"/>
      <c r="HE31" s="530"/>
      <c r="HF31" s="530"/>
      <c r="HG31" s="530"/>
      <c r="HH31" s="530"/>
      <c r="HI31" s="530"/>
      <c r="HJ31" s="530"/>
      <c r="HK31" s="530"/>
      <c r="HL31" s="530"/>
      <c r="HM31" s="530"/>
      <c r="HN31" s="530"/>
      <c r="HO31" s="530"/>
      <c r="HP31" s="530"/>
      <c r="HQ31" s="530"/>
      <c r="HR31" s="530"/>
      <c r="HS31" s="530"/>
      <c r="HT31" s="530"/>
      <c r="HU31" s="530"/>
      <c r="HV31" s="530"/>
      <c r="HW31" s="530"/>
      <c r="HX31" s="530"/>
      <c r="HY31" s="530"/>
      <c r="HZ31" s="530"/>
      <c r="IA31" s="530"/>
      <c r="IB31" s="530"/>
      <c r="IC31" s="530"/>
      <c r="ID31" s="530"/>
      <c r="IE31" s="530"/>
      <c r="IF31" s="530"/>
      <c r="IG31" s="530"/>
      <c r="IH31" s="530"/>
      <c r="II31" s="530"/>
      <c r="IJ31" s="530"/>
      <c r="IK31" s="530"/>
      <c r="IL31" s="530"/>
      <c r="IM31" s="530"/>
      <c r="IN31" s="530"/>
      <c r="IO31" s="530"/>
      <c r="IP31" s="530"/>
      <c r="IQ31" s="530"/>
      <c r="IR31" s="530"/>
      <c r="IS31" s="530"/>
      <c r="IT31" s="530"/>
    </row>
    <row r="32" spans="1:254" ht="11.1" customHeight="1" x14ac:dyDescent="0.2">
      <c r="A32" s="552" t="s">
        <v>1970</v>
      </c>
      <c r="B32" s="553">
        <f t="shared" si="0"/>
        <v>38736</v>
      </c>
      <c r="C32" s="554" t="s">
        <v>1948</v>
      </c>
      <c r="D32" s="555">
        <f>G32*12</f>
        <v>1512</v>
      </c>
      <c r="E32" s="553">
        <v>3228</v>
      </c>
      <c r="F32" s="556" t="s">
        <v>1948</v>
      </c>
      <c r="G32" s="556">
        <v>126</v>
      </c>
      <c r="H32" s="552">
        <f t="shared" si="1"/>
        <v>0</v>
      </c>
      <c r="I32" s="552" t="s">
        <v>1970</v>
      </c>
      <c r="J32" s="553">
        <f t="shared" si="2"/>
        <v>38736</v>
      </c>
      <c r="K32" s="554" t="s">
        <v>1948</v>
      </c>
      <c r="L32" s="555">
        <f>O32*12</f>
        <v>1512</v>
      </c>
      <c r="M32" s="553">
        <v>3228</v>
      </c>
      <c r="N32" s="556" t="s">
        <v>1948</v>
      </c>
      <c r="O32" s="556">
        <v>126</v>
      </c>
      <c r="P32" s="545"/>
      <c r="Q32" s="546"/>
      <c r="R32" s="546"/>
      <c r="S32" s="546"/>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0"/>
      <c r="DV32" s="530"/>
      <c r="DW32" s="530"/>
      <c r="DX32" s="530"/>
      <c r="DY32" s="530"/>
      <c r="DZ32" s="530"/>
      <c r="EA32" s="530"/>
      <c r="EB32" s="530"/>
      <c r="EC32" s="530"/>
      <c r="ED32" s="530"/>
      <c r="EE32" s="530"/>
      <c r="EF32" s="530"/>
      <c r="EG32" s="530"/>
      <c r="EH32" s="530"/>
      <c r="EI32" s="530"/>
      <c r="EJ32" s="530"/>
      <c r="EK32" s="530"/>
      <c r="EL32" s="530"/>
      <c r="EM32" s="530"/>
      <c r="EN32" s="530"/>
      <c r="EO32" s="530"/>
      <c r="EP32" s="530"/>
      <c r="EQ32" s="530"/>
      <c r="ER32" s="530"/>
      <c r="ES32" s="530"/>
      <c r="ET32" s="530"/>
      <c r="EU32" s="530"/>
      <c r="EV32" s="530"/>
      <c r="EW32" s="530"/>
      <c r="EX32" s="530"/>
      <c r="EY32" s="530"/>
      <c r="EZ32" s="530"/>
      <c r="FA32" s="530"/>
      <c r="FB32" s="530"/>
      <c r="FC32" s="530"/>
      <c r="FD32" s="530"/>
      <c r="FE32" s="530"/>
      <c r="FF32" s="530"/>
      <c r="FG32" s="530"/>
      <c r="FH32" s="530"/>
      <c r="FI32" s="530"/>
      <c r="FJ32" s="530"/>
      <c r="FK32" s="530"/>
      <c r="FL32" s="530"/>
      <c r="FM32" s="530"/>
      <c r="FN32" s="530"/>
      <c r="FO32" s="530"/>
      <c r="FP32" s="530"/>
      <c r="FQ32" s="530"/>
      <c r="FR32" s="530"/>
      <c r="FS32" s="530"/>
      <c r="FT32" s="530"/>
      <c r="FU32" s="530"/>
      <c r="FV32" s="530"/>
      <c r="FW32" s="530"/>
      <c r="FX32" s="530"/>
      <c r="FY32" s="530"/>
      <c r="FZ32" s="530"/>
      <c r="GA32" s="530"/>
      <c r="GB32" s="530"/>
      <c r="GC32" s="530"/>
      <c r="GD32" s="530"/>
      <c r="GE32" s="530"/>
      <c r="GF32" s="530"/>
      <c r="GG32" s="530"/>
      <c r="GH32" s="530"/>
      <c r="GI32" s="530"/>
      <c r="GJ32" s="530"/>
      <c r="GK32" s="530"/>
      <c r="GL32" s="530"/>
      <c r="GM32" s="530"/>
      <c r="GN32" s="530"/>
      <c r="GO32" s="530"/>
      <c r="GP32" s="530"/>
      <c r="GQ32" s="530"/>
      <c r="GR32" s="530"/>
      <c r="GS32" s="530"/>
      <c r="GT32" s="530"/>
      <c r="GU32" s="530"/>
      <c r="GV32" s="530"/>
      <c r="GW32" s="530"/>
      <c r="GX32" s="530"/>
      <c r="GY32" s="530"/>
      <c r="GZ32" s="530"/>
      <c r="HA32" s="530"/>
      <c r="HB32" s="530"/>
      <c r="HC32" s="530"/>
      <c r="HD32" s="530"/>
      <c r="HE32" s="530"/>
      <c r="HF32" s="530"/>
      <c r="HG32" s="530"/>
      <c r="HH32" s="530"/>
      <c r="HI32" s="530"/>
      <c r="HJ32" s="530"/>
      <c r="HK32" s="530"/>
      <c r="HL32" s="530"/>
      <c r="HM32" s="530"/>
      <c r="HN32" s="530"/>
      <c r="HO32" s="530"/>
      <c r="HP32" s="530"/>
      <c r="HQ32" s="530"/>
      <c r="HR32" s="530"/>
      <c r="HS32" s="530"/>
      <c r="HT32" s="530"/>
      <c r="HU32" s="530"/>
      <c r="HV32" s="530"/>
      <c r="HW32" s="530"/>
      <c r="HX32" s="530"/>
      <c r="HY32" s="530"/>
      <c r="HZ32" s="530"/>
      <c r="IA32" s="530"/>
      <c r="IB32" s="530"/>
      <c r="IC32" s="530"/>
      <c r="ID32" s="530"/>
      <c r="IE32" s="530"/>
      <c r="IF32" s="530"/>
      <c r="IG32" s="530"/>
      <c r="IH32" s="530"/>
      <c r="II32" s="530"/>
      <c r="IJ32" s="530"/>
      <c r="IK32" s="530"/>
      <c r="IL32" s="530"/>
      <c r="IM32" s="530"/>
      <c r="IN32" s="530"/>
      <c r="IO32" s="530"/>
      <c r="IP32" s="530"/>
      <c r="IQ32" s="530"/>
      <c r="IR32" s="530"/>
      <c r="IS32" s="530"/>
      <c r="IT32" s="530"/>
    </row>
    <row r="33" spans="1:254" ht="11.1" customHeight="1" x14ac:dyDescent="0.2">
      <c r="A33" s="547" t="s">
        <v>1971</v>
      </c>
      <c r="B33" s="548">
        <f t="shared" si="0"/>
        <v>37428</v>
      </c>
      <c r="C33" s="549"/>
      <c r="D33" s="550"/>
      <c r="E33" s="548">
        <v>3119</v>
      </c>
      <c r="F33" s="551"/>
      <c r="G33" s="551"/>
      <c r="H33" s="547">
        <f t="shared" si="1"/>
        <v>0</v>
      </c>
      <c r="I33" s="547" t="s">
        <v>1971</v>
      </c>
      <c r="J33" s="548">
        <f t="shared" si="2"/>
        <v>37428</v>
      </c>
      <c r="K33" s="549"/>
      <c r="L33" s="550"/>
      <c r="M33" s="548">
        <v>3119</v>
      </c>
      <c r="N33" s="551"/>
      <c r="O33" s="551"/>
      <c r="P33" s="545"/>
      <c r="Q33" s="546"/>
      <c r="R33" s="546"/>
      <c r="S33" s="546"/>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0"/>
      <c r="DV33" s="530"/>
      <c r="DW33" s="530"/>
      <c r="DX33" s="530"/>
      <c r="DY33" s="530"/>
      <c r="DZ33" s="530"/>
      <c r="EA33" s="530"/>
      <c r="EB33" s="530"/>
      <c r="EC33" s="530"/>
      <c r="ED33" s="530"/>
      <c r="EE33" s="530"/>
      <c r="EF33" s="530"/>
      <c r="EG33" s="530"/>
      <c r="EH33" s="530"/>
      <c r="EI33" s="530"/>
      <c r="EJ33" s="530"/>
      <c r="EK33" s="530"/>
      <c r="EL33" s="530"/>
      <c r="EM33" s="530"/>
      <c r="EN33" s="530"/>
      <c r="EO33" s="530"/>
      <c r="EP33" s="530"/>
      <c r="EQ33" s="530"/>
      <c r="ER33" s="530"/>
      <c r="ES33" s="530"/>
      <c r="ET33" s="530"/>
      <c r="EU33" s="530"/>
      <c r="EV33" s="530"/>
      <c r="EW33" s="530"/>
      <c r="EX33" s="530"/>
      <c r="EY33" s="530"/>
      <c r="EZ33" s="530"/>
      <c r="FA33" s="530"/>
      <c r="FB33" s="530"/>
      <c r="FC33" s="530"/>
      <c r="FD33" s="530"/>
      <c r="FE33" s="530"/>
      <c r="FF33" s="530"/>
      <c r="FG33" s="530"/>
      <c r="FH33" s="530"/>
      <c r="FI33" s="530"/>
      <c r="FJ33" s="530"/>
      <c r="FK33" s="530"/>
      <c r="FL33" s="530"/>
      <c r="FM33" s="530"/>
      <c r="FN33" s="530"/>
      <c r="FO33" s="530"/>
      <c r="FP33" s="530"/>
      <c r="FQ33" s="530"/>
      <c r="FR33" s="530"/>
      <c r="FS33" s="530"/>
      <c r="FT33" s="530"/>
      <c r="FU33" s="530"/>
      <c r="FV33" s="530"/>
      <c r="FW33" s="530"/>
      <c r="FX33" s="530"/>
      <c r="FY33" s="530"/>
      <c r="FZ33" s="530"/>
      <c r="GA33" s="530"/>
      <c r="GB33" s="530"/>
      <c r="GC33" s="530"/>
      <c r="GD33" s="530"/>
      <c r="GE33" s="530"/>
      <c r="GF33" s="530"/>
      <c r="GG33" s="530"/>
      <c r="GH33" s="530"/>
      <c r="GI33" s="530"/>
      <c r="GJ33" s="530"/>
      <c r="GK33" s="530"/>
      <c r="GL33" s="530"/>
      <c r="GM33" s="530"/>
      <c r="GN33" s="530"/>
      <c r="GO33" s="530"/>
      <c r="GP33" s="530"/>
      <c r="GQ33" s="530"/>
      <c r="GR33" s="530"/>
      <c r="GS33" s="530"/>
      <c r="GT33" s="530"/>
      <c r="GU33" s="530"/>
      <c r="GV33" s="530"/>
      <c r="GW33" s="530"/>
      <c r="GX33" s="530"/>
      <c r="GY33" s="530"/>
      <c r="GZ33" s="530"/>
      <c r="HA33" s="530"/>
      <c r="HB33" s="530"/>
      <c r="HC33" s="530"/>
      <c r="HD33" s="530"/>
      <c r="HE33" s="530"/>
      <c r="HF33" s="530"/>
      <c r="HG33" s="530"/>
      <c r="HH33" s="530"/>
      <c r="HI33" s="530"/>
      <c r="HJ33" s="530"/>
      <c r="HK33" s="530"/>
      <c r="HL33" s="530"/>
      <c r="HM33" s="530"/>
      <c r="HN33" s="530"/>
      <c r="HO33" s="530"/>
      <c r="HP33" s="530"/>
      <c r="HQ33" s="530"/>
      <c r="HR33" s="530"/>
      <c r="HS33" s="530"/>
      <c r="HT33" s="530"/>
      <c r="HU33" s="530"/>
      <c r="HV33" s="530"/>
      <c r="HW33" s="530"/>
      <c r="HX33" s="530"/>
      <c r="HY33" s="530"/>
      <c r="HZ33" s="530"/>
      <c r="IA33" s="530"/>
      <c r="IB33" s="530"/>
      <c r="IC33" s="530"/>
      <c r="ID33" s="530"/>
      <c r="IE33" s="530"/>
      <c r="IF33" s="530"/>
      <c r="IG33" s="530"/>
      <c r="IH33" s="530"/>
      <c r="II33" s="530"/>
      <c r="IJ33" s="530"/>
      <c r="IK33" s="530"/>
      <c r="IL33" s="530"/>
      <c r="IM33" s="530"/>
      <c r="IN33" s="530"/>
      <c r="IO33" s="530"/>
      <c r="IP33" s="530"/>
      <c r="IQ33" s="530"/>
      <c r="IR33" s="530"/>
      <c r="IS33" s="530"/>
      <c r="IT33" s="530"/>
    </row>
    <row r="34" spans="1:254" ht="11.1" customHeight="1" x14ac:dyDescent="0.2">
      <c r="A34" s="552" t="s">
        <v>1972</v>
      </c>
      <c r="B34" s="553">
        <f t="shared" si="0"/>
        <v>36120</v>
      </c>
      <c r="C34" s="554"/>
      <c r="D34" s="555"/>
      <c r="E34" s="553">
        <v>3010</v>
      </c>
      <c r="F34" s="556"/>
      <c r="G34" s="556"/>
      <c r="H34" s="552">
        <f t="shared" si="1"/>
        <v>0</v>
      </c>
      <c r="I34" s="552" t="s">
        <v>1972</v>
      </c>
      <c r="J34" s="553">
        <f t="shared" si="2"/>
        <v>36120</v>
      </c>
      <c r="K34" s="554"/>
      <c r="L34" s="555"/>
      <c r="M34" s="553">
        <v>3010</v>
      </c>
      <c r="N34" s="556"/>
      <c r="O34" s="556"/>
      <c r="P34" s="545"/>
      <c r="Q34" s="546"/>
      <c r="R34" s="546"/>
      <c r="S34" s="546"/>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c r="AR34" s="530"/>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0"/>
      <c r="CA34" s="530"/>
      <c r="CB34" s="530"/>
      <c r="CC34" s="530"/>
      <c r="CD34" s="530"/>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c r="DH34" s="530"/>
      <c r="DI34" s="530"/>
      <c r="DJ34" s="530"/>
      <c r="DK34" s="530"/>
      <c r="DL34" s="530"/>
      <c r="DM34" s="530"/>
      <c r="DN34" s="530"/>
      <c r="DO34" s="530"/>
      <c r="DP34" s="530"/>
      <c r="DQ34" s="530"/>
      <c r="DR34" s="530"/>
      <c r="DS34" s="530"/>
      <c r="DT34" s="530"/>
      <c r="DU34" s="530"/>
      <c r="DV34" s="530"/>
      <c r="DW34" s="530"/>
      <c r="DX34" s="530"/>
      <c r="DY34" s="530"/>
      <c r="DZ34" s="530"/>
      <c r="EA34" s="530"/>
      <c r="EB34" s="530"/>
      <c r="EC34" s="530"/>
      <c r="ED34" s="530"/>
      <c r="EE34" s="530"/>
      <c r="EF34" s="530"/>
      <c r="EG34" s="530"/>
      <c r="EH34" s="530"/>
      <c r="EI34" s="530"/>
      <c r="EJ34" s="530"/>
      <c r="EK34" s="530"/>
      <c r="EL34" s="530"/>
      <c r="EM34" s="530"/>
      <c r="EN34" s="530"/>
      <c r="EO34" s="530"/>
      <c r="EP34" s="530"/>
      <c r="EQ34" s="530"/>
      <c r="ER34" s="530"/>
      <c r="ES34" s="530"/>
      <c r="ET34" s="530"/>
      <c r="EU34" s="530"/>
      <c r="EV34" s="530"/>
      <c r="EW34" s="530"/>
      <c r="EX34" s="530"/>
      <c r="EY34" s="530"/>
      <c r="EZ34" s="530"/>
      <c r="FA34" s="530"/>
      <c r="FB34" s="530"/>
      <c r="FC34" s="530"/>
      <c r="FD34" s="530"/>
      <c r="FE34" s="530"/>
      <c r="FF34" s="530"/>
      <c r="FG34" s="530"/>
      <c r="FH34" s="530"/>
      <c r="FI34" s="530"/>
      <c r="FJ34" s="530"/>
      <c r="FK34" s="530"/>
      <c r="FL34" s="530"/>
      <c r="FM34" s="530"/>
      <c r="FN34" s="530"/>
      <c r="FO34" s="530"/>
      <c r="FP34" s="530"/>
      <c r="FQ34" s="530"/>
      <c r="FR34" s="530"/>
      <c r="FS34" s="530"/>
      <c r="FT34" s="530"/>
      <c r="FU34" s="530"/>
      <c r="FV34" s="530"/>
      <c r="FW34" s="530"/>
      <c r="FX34" s="530"/>
      <c r="FY34" s="530"/>
      <c r="FZ34" s="530"/>
      <c r="GA34" s="530"/>
      <c r="GB34" s="530"/>
      <c r="GC34" s="530"/>
      <c r="GD34" s="530"/>
      <c r="GE34" s="530"/>
      <c r="GF34" s="530"/>
      <c r="GG34" s="530"/>
      <c r="GH34" s="530"/>
      <c r="GI34" s="530"/>
      <c r="GJ34" s="530"/>
      <c r="GK34" s="530"/>
      <c r="GL34" s="530"/>
      <c r="GM34" s="530"/>
      <c r="GN34" s="530"/>
      <c r="GO34" s="530"/>
      <c r="GP34" s="530"/>
      <c r="GQ34" s="530"/>
      <c r="GR34" s="530"/>
      <c r="GS34" s="530"/>
      <c r="GT34" s="530"/>
      <c r="GU34" s="530"/>
      <c r="GV34" s="530"/>
      <c r="GW34" s="530"/>
      <c r="GX34" s="530"/>
      <c r="GY34" s="530"/>
      <c r="GZ34" s="530"/>
      <c r="HA34" s="530"/>
      <c r="HB34" s="530"/>
      <c r="HC34" s="530"/>
      <c r="HD34" s="530"/>
      <c r="HE34" s="530"/>
      <c r="HF34" s="530"/>
      <c r="HG34" s="530"/>
      <c r="HH34" s="530"/>
      <c r="HI34" s="530"/>
      <c r="HJ34" s="530"/>
      <c r="HK34" s="530"/>
      <c r="HL34" s="530"/>
      <c r="HM34" s="530"/>
      <c r="HN34" s="530"/>
      <c r="HO34" s="530"/>
      <c r="HP34" s="530"/>
      <c r="HQ34" s="530"/>
      <c r="HR34" s="530"/>
      <c r="HS34" s="530"/>
      <c r="HT34" s="530"/>
      <c r="HU34" s="530"/>
      <c r="HV34" s="530"/>
      <c r="HW34" s="530"/>
      <c r="HX34" s="530"/>
      <c r="HY34" s="530"/>
      <c r="HZ34" s="530"/>
      <c r="IA34" s="530"/>
      <c r="IB34" s="530"/>
      <c r="IC34" s="530"/>
      <c r="ID34" s="530"/>
      <c r="IE34" s="530"/>
      <c r="IF34" s="530"/>
      <c r="IG34" s="530"/>
      <c r="IH34" s="530"/>
      <c r="II34" s="530"/>
      <c r="IJ34" s="530"/>
      <c r="IK34" s="530"/>
      <c r="IL34" s="530"/>
      <c r="IM34" s="530"/>
      <c r="IN34" s="530"/>
      <c r="IO34" s="530"/>
      <c r="IP34" s="530"/>
      <c r="IQ34" s="530"/>
      <c r="IR34" s="530"/>
      <c r="IS34" s="530"/>
      <c r="IT34" s="530"/>
    </row>
    <row r="35" spans="1:254" ht="11.1" customHeight="1" x14ac:dyDescent="0.2">
      <c r="A35" s="547" t="s">
        <v>1973</v>
      </c>
      <c r="B35" s="548">
        <f t="shared" si="0"/>
        <v>34812</v>
      </c>
      <c r="C35" s="549"/>
      <c r="D35" s="550"/>
      <c r="E35" s="548">
        <v>2901</v>
      </c>
      <c r="F35" s="551"/>
      <c r="G35" s="551"/>
      <c r="H35" s="547">
        <f t="shared" si="1"/>
        <v>0</v>
      </c>
      <c r="I35" s="547" t="s">
        <v>1973</v>
      </c>
      <c r="J35" s="548">
        <f t="shared" si="2"/>
        <v>34812</v>
      </c>
      <c r="K35" s="549"/>
      <c r="L35" s="550"/>
      <c r="M35" s="548">
        <v>2901</v>
      </c>
      <c r="N35" s="551"/>
      <c r="O35" s="551"/>
      <c r="P35" s="545"/>
      <c r="Q35" s="546"/>
      <c r="R35" s="546"/>
      <c r="S35" s="546"/>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0"/>
      <c r="BC35" s="530"/>
      <c r="BD35" s="530"/>
      <c r="BE35" s="530"/>
      <c r="BF35" s="530"/>
      <c r="BG35" s="530"/>
      <c r="BH35" s="530"/>
      <c r="BI35" s="530"/>
      <c r="BJ35" s="530"/>
      <c r="BK35" s="530"/>
      <c r="BL35" s="530"/>
      <c r="BM35" s="530"/>
      <c r="BN35" s="530"/>
      <c r="BO35" s="530"/>
      <c r="BP35" s="530"/>
      <c r="BQ35" s="530"/>
      <c r="BR35" s="530"/>
      <c r="BS35" s="530"/>
      <c r="BT35" s="530"/>
      <c r="BU35" s="530"/>
      <c r="BV35" s="530"/>
      <c r="BW35" s="530"/>
      <c r="BX35" s="530"/>
      <c r="BY35" s="530"/>
      <c r="BZ35" s="530"/>
      <c r="CA35" s="530"/>
      <c r="CB35" s="530"/>
      <c r="CC35" s="530"/>
      <c r="CD35" s="530"/>
      <c r="CE35" s="530"/>
      <c r="CF35" s="530"/>
      <c r="CG35" s="530"/>
      <c r="CH35" s="530"/>
      <c r="CI35" s="530"/>
      <c r="CJ35" s="530"/>
      <c r="CK35" s="530"/>
      <c r="CL35" s="530"/>
      <c r="CM35" s="530"/>
      <c r="CN35" s="530"/>
      <c r="CO35" s="530"/>
      <c r="CP35" s="530"/>
      <c r="CQ35" s="530"/>
      <c r="CR35" s="530"/>
      <c r="CS35" s="530"/>
      <c r="CT35" s="530"/>
      <c r="CU35" s="530"/>
      <c r="CV35" s="530"/>
      <c r="CW35" s="530"/>
      <c r="CX35" s="530"/>
      <c r="CY35" s="530"/>
      <c r="CZ35" s="530"/>
      <c r="DA35" s="530"/>
      <c r="DB35" s="530"/>
      <c r="DC35" s="530"/>
      <c r="DD35" s="530"/>
      <c r="DE35" s="530"/>
      <c r="DF35" s="530"/>
      <c r="DG35" s="530"/>
      <c r="DH35" s="530"/>
      <c r="DI35" s="530"/>
      <c r="DJ35" s="530"/>
      <c r="DK35" s="530"/>
      <c r="DL35" s="530"/>
      <c r="DM35" s="530"/>
      <c r="DN35" s="530"/>
      <c r="DO35" s="530"/>
      <c r="DP35" s="530"/>
      <c r="DQ35" s="530"/>
      <c r="DR35" s="530"/>
      <c r="DS35" s="530"/>
      <c r="DT35" s="530"/>
      <c r="DU35" s="530"/>
      <c r="DV35" s="530"/>
      <c r="DW35" s="530"/>
      <c r="DX35" s="530"/>
      <c r="DY35" s="530"/>
      <c r="DZ35" s="530"/>
      <c r="EA35" s="530"/>
      <c r="EB35" s="530"/>
      <c r="EC35" s="530"/>
      <c r="ED35" s="530"/>
      <c r="EE35" s="530"/>
      <c r="EF35" s="530"/>
      <c r="EG35" s="530"/>
      <c r="EH35" s="530"/>
      <c r="EI35" s="530"/>
      <c r="EJ35" s="530"/>
      <c r="EK35" s="530"/>
      <c r="EL35" s="530"/>
      <c r="EM35" s="530"/>
      <c r="EN35" s="530"/>
      <c r="EO35" s="530"/>
      <c r="EP35" s="530"/>
      <c r="EQ35" s="530"/>
      <c r="ER35" s="530"/>
      <c r="ES35" s="530"/>
      <c r="ET35" s="530"/>
      <c r="EU35" s="530"/>
      <c r="EV35" s="530"/>
      <c r="EW35" s="530"/>
      <c r="EX35" s="530"/>
      <c r="EY35" s="530"/>
      <c r="EZ35" s="530"/>
      <c r="FA35" s="530"/>
      <c r="FB35" s="530"/>
      <c r="FC35" s="530"/>
      <c r="FD35" s="530"/>
      <c r="FE35" s="530"/>
      <c r="FF35" s="530"/>
      <c r="FG35" s="530"/>
      <c r="FH35" s="530"/>
      <c r="FI35" s="530"/>
      <c r="FJ35" s="530"/>
      <c r="FK35" s="530"/>
      <c r="FL35" s="530"/>
      <c r="FM35" s="530"/>
      <c r="FN35" s="530"/>
      <c r="FO35" s="530"/>
      <c r="FP35" s="530"/>
      <c r="FQ35" s="530"/>
      <c r="FR35" s="530"/>
      <c r="FS35" s="530"/>
      <c r="FT35" s="530"/>
      <c r="FU35" s="530"/>
      <c r="FV35" s="530"/>
      <c r="FW35" s="530"/>
      <c r="FX35" s="530"/>
      <c r="FY35" s="530"/>
      <c r="FZ35" s="530"/>
      <c r="GA35" s="530"/>
      <c r="GB35" s="530"/>
      <c r="GC35" s="530"/>
      <c r="GD35" s="530"/>
      <c r="GE35" s="530"/>
      <c r="GF35" s="530"/>
      <c r="GG35" s="530"/>
      <c r="GH35" s="530"/>
      <c r="GI35" s="530"/>
      <c r="GJ35" s="530"/>
      <c r="GK35" s="530"/>
      <c r="GL35" s="530"/>
      <c r="GM35" s="530"/>
      <c r="GN35" s="530"/>
      <c r="GO35" s="530"/>
      <c r="GP35" s="530"/>
      <c r="GQ35" s="530"/>
      <c r="GR35" s="530"/>
      <c r="GS35" s="530"/>
      <c r="GT35" s="530"/>
      <c r="GU35" s="530"/>
      <c r="GV35" s="530"/>
      <c r="GW35" s="530"/>
      <c r="GX35" s="530"/>
      <c r="GY35" s="530"/>
      <c r="GZ35" s="530"/>
      <c r="HA35" s="530"/>
      <c r="HB35" s="530"/>
      <c r="HC35" s="530"/>
      <c r="HD35" s="530"/>
      <c r="HE35" s="530"/>
      <c r="HF35" s="530"/>
      <c r="HG35" s="530"/>
      <c r="HH35" s="530"/>
      <c r="HI35" s="530"/>
      <c r="HJ35" s="530"/>
      <c r="HK35" s="530"/>
      <c r="HL35" s="530"/>
      <c r="HM35" s="530"/>
      <c r="HN35" s="530"/>
      <c r="HO35" s="530"/>
      <c r="HP35" s="530"/>
      <c r="HQ35" s="530"/>
      <c r="HR35" s="530"/>
      <c r="HS35" s="530"/>
      <c r="HT35" s="530"/>
      <c r="HU35" s="530"/>
      <c r="HV35" s="530"/>
      <c r="HW35" s="530"/>
      <c r="HX35" s="530"/>
      <c r="HY35" s="530"/>
      <c r="HZ35" s="530"/>
      <c r="IA35" s="530"/>
      <c r="IB35" s="530"/>
      <c r="IC35" s="530"/>
      <c r="ID35" s="530"/>
      <c r="IE35" s="530"/>
      <c r="IF35" s="530"/>
      <c r="IG35" s="530"/>
      <c r="IH35" s="530"/>
      <c r="II35" s="530"/>
      <c r="IJ35" s="530"/>
      <c r="IK35" s="530"/>
      <c r="IL35" s="530"/>
      <c r="IM35" s="530"/>
      <c r="IN35" s="530"/>
      <c r="IO35" s="530"/>
      <c r="IP35" s="530"/>
      <c r="IQ35" s="530"/>
      <c r="IR35" s="530"/>
      <c r="IS35" s="530"/>
      <c r="IT35" s="530"/>
    </row>
    <row r="36" spans="1:254" ht="11.1" customHeight="1" x14ac:dyDescent="0.2">
      <c r="A36" s="552" t="s">
        <v>1974</v>
      </c>
      <c r="B36" s="553">
        <f t="shared" si="0"/>
        <v>33504</v>
      </c>
      <c r="C36" s="554"/>
      <c r="D36" s="555"/>
      <c r="E36" s="553">
        <v>2792</v>
      </c>
      <c r="F36" s="556"/>
      <c r="G36" s="556"/>
      <c r="H36" s="552">
        <f t="shared" si="1"/>
        <v>0</v>
      </c>
      <c r="I36" s="552" t="s">
        <v>1974</v>
      </c>
      <c r="J36" s="553">
        <f t="shared" si="2"/>
        <v>33504</v>
      </c>
      <c r="K36" s="554"/>
      <c r="L36" s="555"/>
      <c r="M36" s="553">
        <v>2792</v>
      </c>
      <c r="N36" s="556"/>
      <c r="O36" s="556"/>
      <c r="P36" s="545"/>
      <c r="Q36" s="546"/>
      <c r="R36" s="546"/>
      <c r="S36" s="546"/>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530"/>
      <c r="BQ36" s="530"/>
      <c r="BR36" s="530"/>
      <c r="BS36" s="530"/>
      <c r="BT36" s="530"/>
      <c r="BU36" s="530"/>
      <c r="BV36" s="530"/>
      <c r="BW36" s="530"/>
      <c r="BX36" s="530"/>
      <c r="BY36" s="530"/>
      <c r="BZ36" s="530"/>
      <c r="CA36" s="530"/>
      <c r="CB36" s="530"/>
      <c r="CC36" s="530"/>
      <c r="CD36" s="530"/>
      <c r="CE36" s="530"/>
      <c r="CF36" s="530"/>
      <c r="CG36" s="530"/>
      <c r="CH36" s="530"/>
      <c r="CI36" s="530"/>
      <c r="CJ36" s="530"/>
      <c r="CK36" s="530"/>
      <c r="CL36" s="530"/>
      <c r="CM36" s="530"/>
      <c r="CN36" s="530"/>
      <c r="CO36" s="530"/>
      <c r="CP36" s="530"/>
      <c r="CQ36" s="530"/>
      <c r="CR36" s="530"/>
      <c r="CS36" s="530"/>
      <c r="CT36" s="530"/>
      <c r="CU36" s="530"/>
      <c r="CV36" s="530"/>
      <c r="CW36" s="530"/>
      <c r="CX36" s="530"/>
      <c r="CY36" s="530"/>
      <c r="CZ36" s="530"/>
      <c r="DA36" s="530"/>
      <c r="DB36" s="530"/>
      <c r="DC36" s="530"/>
      <c r="DD36" s="530"/>
      <c r="DE36" s="530"/>
      <c r="DF36" s="530"/>
      <c r="DG36" s="530"/>
      <c r="DH36" s="530"/>
      <c r="DI36" s="530"/>
      <c r="DJ36" s="530"/>
      <c r="DK36" s="530"/>
      <c r="DL36" s="530"/>
      <c r="DM36" s="530"/>
      <c r="DN36" s="530"/>
      <c r="DO36" s="530"/>
      <c r="DP36" s="530"/>
      <c r="DQ36" s="530"/>
      <c r="DR36" s="530"/>
      <c r="DS36" s="530"/>
      <c r="DT36" s="530"/>
      <c r="DU36" s="530"/>
      <c r="DV36" s="530"/>
      <c r="DW36" s="530"/>
      <c r="DX36" s="530"/>
      <c r="DY36" s="530"/>
      <c r="DZ36" s="530"/>
      <c r="EA36" s="530"/>
      <c r="EB36" s="530"/>
      <c r="EC36" s="530"/>
      <c r="ED36" s="530"/>
      <c r="EE36" s="530"/>
      <c r="EF36" s="530"/>
      <c r="EG36" s="530"/>
      <c r="EH36" s="530"/>
      <c r="EI36" s="530"/>
      <c r="EJ36" s="530"/>
      <c r="EK36" s="530"/>
      <c r="EL36" s="530"/>
      <c r="EM36" s="530"/>
      <c r="EN36" s="530"/>
      <c r="EO36" s="530"/>
      <c r="EP36" s="530"/>
      <c r="EQ36" s="530"/>
      <c r="ER36" s="530"/>
      <c r="ES36" s="530"/>
      <c r="ET36" s="530"/>
      <c r="EU36" s="530"/>
      <c r="EV36" s="530"/>
      <c r="EW36" s="530"/>
      <c r="EX36" s="530"/>
      <c r="EY36" s="530"/>
      <c r="EZ36" s="530"/>
      <c r="FA36" s="530"/>
      <c r="FB36" s="530"/>
      <c r="FC36" s="530"/>
      <c r="FD36" s="530"/>
      <c r="FE36" s="530"/>
      <c r="FF36" s="530"/>
      <c r="FG36" s="530"/>
      <c r="FH36" s="530"/>
      <c r="FI36" s="530"/>
      <c r="FJ36" s="530"/>
      <c r="FK36" s="530"/>
      <c r="FL36" s="530"/>
      <c r="FM36" s="530"/>
      <c r="FN36" s="530"/>
      <c r="FO36" s="530"/>
      <c r="FP36" s="530"/>
      <c r="FQ36" s="530"/>
      <c r="FR36" s="530"/>
      <c r="FS36" s="530"/>
      <c r="FT36" s="530"/>
      <c r="FU36" s="530"/>
      <c r="FV36" s="530"/>
      <c r="FW36" s="530"/>
      <c r="FX36" s="530"/>
      <c r="FY36" s="530"/>
      <c r="FZ36" s="530"/>
      <c r="GA36" s="530"/>
      <c r="GB36" s="530"/>
      <c r="GC36" s="530"/>
      <c r="GD36" s="530"/>
      <c r="GE36" s="530"/>
      <c r="GF36" s="530"/>
      <c r="GG36" s="530"/>
      <c r="GH36" s="530"/>
      <c r="GI36" s="530"/>
      <c r="GJ36" s="530"/>
      <c r="GK36" s="530"/>
      <c r="GL36" s="530"/>
      <c r="GM36" s="530"/>
      <c r="GN36" s="530"/>
      <c r="GO36" s="530"/>
      <c r="GP36" s="530"/>
      <c r="GQ36" s="530"/>
      <c r="GR36" s="530"/>
      <c r="GS36" s="530"/>
      <c r="GT36" s="530"/>
      <c r="GU36" s="530"/>
      <c r="GV36" s="530"/>
      <c r="GW36" s="530"/>
      <c r="GX36" s="530"/>
      <c r="GY36" s="530"/>
      <c r="GZ36" s="530"/>
      <c r="HA36" s="530"/>
      <c r="HB36" s="530"/>
      <c r="HC36" s="530"/>
      <c r="HD36" s="530"/>
      <c r="HE36" s="530"/>
      <c r="HF36" s="530"/>
      <c r="HG36" s="530"/>
      <c r="HH36" s="530"/>
      <c r="HI36" s="530"/>
      <c r="HJ36" s="530"/>
      <c r="HK36" s="530"/>
      <c r="HL36" s="530"/>
      <c r="HM36" s="530"/>
      <c r="HN36" s="530"/>
      <c r="HO36" s="530"/>
      <c r="HP36" s="530"/>
      <c r="HQ36" s="530"/>
      <c r="HR36" s="530"/>
      <c r="HS36" s="530"/>
      <c r="HT36" s="530"/>
      <c r="HU36" s="530"/>
      <c r="HV36" s="530"/>
      <c r="HW36" s="530"/>
      <c r="HX36" s="530"/>
      <c r="HY36" s="530"/>
      <c r="HZ36" s="530"/>
      <c r="IA36" s="530"/>
      <c r="IB36" s="530"/>
      <c r="IC36" s="530"/>
      <c r="ID36" s="530"/>
      <c r="IE36" s="530"/>
      <c r="IF36" s="530"/>
      <c r="IG36" s="530"/>
      <c r="IH36" s="530"/>
      <c r="II36" s="530"/>
      <c r="IJ36" s="530"/>
      <c r="IK36" s="530"/>
      <c r="IL36" s="530"/>
      <c r="IM36" s="530"/>
      <c r="IN36" s="530"/>
      <c r="IO36" s="530"/>
      <c r="IP36" s="530"/>
      <c r="IQ36" s="530"/>
      <c r="IR36" s="530"/>
      <c r="IS36" s="530"/>
      <c r="IT36" s="530"/>
    </row>
    <row r="37" spans="1:254" ht="11.1" customHeight="1" x14ac:dyDescent="0.2">
      <c r="A37" s="547" t="s">
        <v>1975</v>
      </c>
      <c r="B37" s="548">
        <f t="shared" si="0"/>
        <v>32196</v>
      </c>
      <c r="C37" s="549" t="s">
        <v>1948</v>
      </c>
      <c r="D37" s="550">
        <f>G37*12</f>
        <v>1308</v>
      </c>
      <c r="E37" s="548">
        <v>2683</v>
      </c>
      <c r="F37" s="551" t="s">
        <v>1948</v>
      </c>
      <c r="G37" s="551">
        <v>109</v>
      </c>
      <c r="H37" s="547">
        <f t="shared" si="1"/>
        <v>0</v>
      </c>
      <c r="I37" s="547" t="s">
        <v>1975</v>
      </c>
      <c r="J37" s="548">
        <f t="shared" si="2"/>
        <v>32196</v>
      </c>
      <c r="K37" s="549" t="s">
        <v>1948</v>
      </c>
      <c r="L37" s="550">
        <f>O37*12</f>
        <v>1308</v>
      </c>
      <c r="M37" s="548">
        <v>2683</v>
      </c>
      <c r="N37" s="551" t="s">
        <v>1948</v>
      </c>
      <c r="O37" s="551">
        <v>109</v>
      </c>
      <c r="P37" s="545"/>
      <c r="Q37" s="546"/>
      <c r="R37" s="546"/>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c r="AP37" s="530"/>
      <c r="AQ37" s="530"/>
      <c r="AR37" s="530"/>
      <c r="AS37" s="530"/>
      <c r="AT37" s="530"/>
      <c r="AU37" s="530"/>
      <c r="AV37" s="530"/>
      <c r="AW37" s="530"/>
      <c r="AX37" s="530"/>
      <c r="AY37" s="530"/>
      <c r="AZ37" s="530"/>
      <c r="BA37" s="530"/>
      <c r="BB37" s="530"/>
      <c r="BC37" s="530"/>
      <c r="BD37" s="530"/>
      <c r="BE37" s="530"/>
      <c r="BF37" s="530"/>
      <c r="BG37" s="530"/>
      <c r="BH37" s="530"/>
      <c r="BI37" s="530"/>
      <c r="BJ37" s="530"/>
      <c r="BK37" s="530"/>
      <c r="BL37" s="530"/>
      <c r="BM37" s="530"/>
      <c r="BN37" s="530"/>
      <c r="BO37" s="530"/>
      <c r="BP37" s="530"/>
      <c r="BQ37" s="530"/>
      <c r="BR37" s="530"/>
      <c r="BS37" s="530"/>
      <c r="BT37" s="530"/>
      <c r="BU37" s="530"/>
      <c r="BV37" s="530"/>
      <c r="BW37" s="530"/>
      <c r="BX37" s="530"/>
      <c r="BY37" s="530"/>
      <c r="BZ37" s="530"/>
      <c r="CA37" s="530"/>
      <c r="CB37" s="530"/>
      <c r="CC37" s="530"/>
      <c r="CD37" s="530"/>
      <c r="CE37" s="530"/>
      <c r="CF37" s="530"/>
      <c r="CG37" s="530"/>
      <c r="CH37" s="530"/>
      <c r="CI37" s="530"/>
      <c r="CJ37" s="530"/>
      <c r="CK37" s="530"/>
      <c r="CL37" s="530"/>
      <c r="CM37" s="530"/>
      <c r="CN37" s="530"/>
      <c r="CO37" s="530"/>
      <c r="CP37" s="530"/>
      <c r="CQ37" s="530"/>
      <c r="CR37" s="530"/>
      <c r="CS37" s="530"/>
      <c r="CT37" s="530"/>
      <c r="CU37" s="530"/>
      <c r="CV37" s="530"/>
      <c r="CW37" s="530"/>
      <c r="CX37" s="530"/>
      <c r="CY37" s="530"/>
      <c r="CZ37" s="530"/>
      <c r="DA37" s="530"/>
      <c r="DB37" s="530"/>
      <c r="DC37" s="530"/>
      <c r="DD37" s="530"/>
      <c r="DE37" s="530"/>
      <c r="DF37" s="530"/>
      <c r="DG37" s="530"/>
      <c r="DH37" s="530"/>
      <c r="DI37" s="530"/>
      <c r="DJ37" s="530"/>
      <c r="DK37" s="530"/>
      <c r="DL37" s="530"/>
      <c r="DM37" s="530"/>
      <c r="DN37" s="530"/>
      <c r="DO37" s="530"/>
      <c r="DP37" s="530"/>
      <c r="DQ37" s="530"/>
      <c r="DR37" s="530"/>
      <c r="DS37" s="530"/>
      <c r="DT37" s="530"/>
      <c r="DU37" s="530"/>
      <c r="DV37" s="530"/>
      <c r="DW37" s="530"/>
      <c r="DX37" s="530"/>
      <c r="DY37" s="530"/>
      <c r="DZ37" s="530"/>
      <c r="EA37" s="530"/>
      <c r="EB37" s="530"/>
      <c r="EC37" s="530"/>
      <c r="ED37" s="530"/>
      <c r="EE37" s="530"/>
      <c r="EF37" s="530"/>
      <c r="EG37" s="530"/>
      <c r="EH37" s="530"/>
      <c r="EI37" s="530"/>
      <c r="EJ37" s="530"/>
      <c r="EK37" s="530"/>
      <c r="EL37" s="530"/>
      <c r="EM37" s="530"/>
      <c r="EN37" s="530"/>
      <c r="EO37" s="530"/>
      <c r="EP37" s="530"/>
      <c r="EQ37" s="530"/>
      <c r="ER37" s="530"/>
      <c r="ES37" s="530"/>
      <c r="ET37" s="530"/>
      <c r="EU37" s="530"/>
      <c r="EV37" s="530"/>
      <c r="EW37" s="530"/>
      <c r="EX37" s="530"/>
      <c r="EY37" s="530"/>
      <c r="EZ37" s="530"/>
      <c r="FA37" s="530"/>
      <c r="FB37" s="530"/>
      <c r="FC37" s="530"/>
      <c r="FD37" s="530"/>
      <c r="FE37" s="530"/>
      <c r="FF37" s="530"/>
      <c r="FG37" s="530"/>
      <c r="FH37" s="530"/>
      <c r="FI37" s="530"/>
      <c r="FJ37" s="530"/>
      <c r="FK37" s="530"/>
      <c r="FL37" s="530"/>
      <c r="FM37" s="530"/>
      <c r="FN37" s="530"/>
      <c r="FO37" s="530"/>
      <c r="FP37" s="530"/>
      <c r="FQ37" s="530"/>
      <c r="FR37" s="530"/>
      <c r="FS37" s="530"/>
      <c r="FT37" s="530"/>
      <c r="FU37" s="530"/>
      <c r="FV37" s="530"/>
      <c r="FW37" s="530"/>
      <c r="FX37" s="530"/>
      <c r="FY37" s="530"/>
      <c r="FZ37" s="530"/>
      <c r="GA37" s="530"/>
      <c r="GB37" s="530"/>
      <c r="GC37" s="530"/>
      <c r="GD37" s="530"/>
      <c r="GE37" s="530"/>
      <c r="GF37" s="530"/>
      <c r="GG37" s="530"/>
      <c r="GH37" s="530"/>
      <c r="GI37" s="530"/>
      <c r="GJ37" s="530"/>
      <c r="GK37" s="530"/>
      <c r="GL37" s="530"/>
      <c r="GM37" s="530"/>
      <c r="GN37" s="530"/>
      <c r="GO37" s="530"/>
      <c r="GP37" s="530"/>
      <c r="GQ37" s="530"/>
      <c r="GR37" s="530"/>
      <c r="GS37" s="530"/>
      <c r="GT37" s="530"/>
      <c r="GU37" s="530"/>
      <c r="GV37" s="530"/>
      <c r="GW37" s="530"/>
      <c r="GX37" s="530"/>
      <c r="GY37" s="530"/>
      <c r="GZ37" s="530"/>
      <c r="HA37" s="530"/>
      <c r="HB37" s="530"/>
      <c r="HC37" s="530"/>
      <c r="HD37" s="530"/>
      <c r="HE37" s="530"/>
      <c r="HF37" s="530"/>
      <c r="HG37" s="530"/>
      <c r="HH37" s="530"/>
      <c r="HI37" s="530"/>
      <c r="HJ37" s="530"/>
      <c r="HK37" s="530"/>
      <c r="HL37" s="530"/>
      <c r="HM37" s="530"/>
      <c r="HN37" s="530"/>
      <c r="HO37" s="530"/>
      <c r="HP37" s="530"/>
      <c r="HQ37" s="530"/>
      <c r="HR37" s="530"/>
      <c r="HS37" s="530"/>
      <c r="HT37" s="530"/>
      <c r="HU37" s="530"/>
      <c r="HV37" s="530"/>
      <c r="HW37" s="530"/>
      <c r="HX37" s="530"/>
      <c r="HY37" s="530"/>
      <c r="HZ37" s="530"/>
      <c r="IA37" s="530"/>
      <c r="IB37" s="530"/>
      <c r="IC37" s="530"/>
      <c r="ID37" s="530"/>
      <c r="IE37" s="530"/>
      <c r="IF37" s="530"/>
      <c r="IG37" s="530"/>
      <c r="IH37" s="530"/>
      <c r="II37" s="530"/>
      <c r="IJ37" s="530"/>
      <c r="IK37" s="530"/>
      <c r="IL37" s="530"/>
      <c r="IM37" s="530"/>
      <c r="IN37" s="530"/>
      <c r="IO37" s="530"/>
      <c r="IP37" s="530"/>
      <c r="IQ37" s="530"/>
      <c r="IR37" s="530"/>
      <c r="IS37" s="530"/>
      <c r="IT37" s="530"/>
    </row>
    <row r="38" spans="1:254" ht="11.1" customHeight="1" x14ac:dyDescent="0.2">
      <c r="A38" s="552" t="s">
        <v>1976</v>
      </c>
      <c r="B38" s="553">
        <f t="shared" si="0"/>
        <v>30996</v>
      </c>
      <c r="C38" s="554"/>
      <c r="D38" s="555"/>
      <c r="E38" s="553">
        <v>2583</v>
      </c>
      <c r="F38" s="556"/>
      <c r="G38" s="556"/>
      <c r="H38" s="552">
        <f t="shared" si="1"/>
        <v>0</v>
      </c>
      <c r="I38" s="552" t="s">
        <v>1976</v>
      </c>
      <c r="J38" s="553">
        <f t="shared" si="2"/>
        <v>30996</v>
      </c>
      <c r="K38" s="554"/>
      <c r="L38" s="555"/>
      <c r="M38" s="553">
        <v>2583</v>
      </c>
      <c r="N38" s="556"/>
      <c r="O38" s="556"/>
      <c r="P38" s="545"/>
      <c r="Q38" s="546"/>
      <c r="R38" s="546"/>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0"/>
      <c r="AR38" s="530"/>
      <c r="AS38" s="530"/>
      <c r="AT38" s="530"/>
      <c r="AU38" s="530"/>
      <c r="AV38" s="530"/>
      <c r="AW38" s="530"/>
      <c r="AX38" s="530"/>
      <c r="AY38" s="530"/>
      <c r="AZ38" s="530"/>
      <c r="BA38" s="530"/>
      <c r="BB38" s="530"/>
      <c r="BC38" s="530"/>
      <c r="BD38" s="530"/>
      <c r="BE38" s="530"/>
      <c r="BF38" s="530"/>
      <c r="BG38" s="530"/>
      <c r="BH38" s="530"/>
      <c r="BI38" s="530"/>
      <c r="BJ38" s="530"/>
      <c r="BK38" s="530"/>
      <c r="BL38" s="530"/>
      <c r="BM38" s="530"/>
      <c r="BN38" s="530"/>
      <c r="BO38" s="530"/>
      <c r="BP38" s="530"/>
      <c r="BQ38" s="530"/>
      <c r="BR38" s="530"/>
      <c r="BS38" s="530"/>
      <c r="BT38" s="530"/>
      <c r="BU38" s="530"/>
      <c r="BV38" s="530"/>
      <c r="BW38" s="530"/>
      <c r="BX38" s="530"/>
      <c r="BY38" s="530"/>
      <c r="BZ38" s="530"/>
      <c r="CA38" s="530"/>
      <c r="CB38" s="530"/>
      <c r="CC38" s="530"/>
      <c r="CD38" s="530"/>
      <c r="CE38" s="530"/>
      <c r="CF38" s="530"/>
      <c r="CG38" s="530"/>
      <c r="CH38" s="530"/>
      <c r="CI38" s="530"/>
      <c r="CJ38" s="530"/>
      <c r="CK38" s="530"/>
      <c r="CL38" s="530"/>
      <c r="CM38" s="530"/>
      <c r="CN38" s="530"/>
      <c r="CO38" s="530"/>
      <c r="CP38" s="530"/>
      <c r="CQ38" s="530"/>
      <c r="CR38" s="530"/>
      <c r="CS38" s="530"/>
      <c r="CT38" s="530"/>
      <c r="CU38" s="530"/>
      <c r="CV38" s="530"/>
      <c r="CW38" s="530"/>
      <c r="CX38" s="530"/>
      <c r="CY38" s="530"/>
      <c r="CZ38" s="530"/>
      <c r="DA38" s="530"/>
      <c r="DB38" s="530"/>
      <c r="DC38" s="530"/>
      <c r="DD38" s="530"/>
      <c r="DE38" s="530"/>
      <c r="DF38" s="530"/>
      <c r="DG38" s="530"/>
      <c r="DH38" s="530"/>
      <c r="DI38" s="530"/>
      <c r="DJ38" s="530"/>
      <c r="DK38" s="530"/>
      <c r="DL38" s="530"/>
      <c r="DM38" s="530"/>
      <c r="DN38" s="530"/>
      <c r="DO38" s="530"/>
      <c r="DP38" s="530"/>
      <c r="DQ38" s="530"/>
      <c r="DR38" s="530"/>
      <c r="DS38" s="530"/>
      <c r="DT38" s="530"/>
      <c r="DU38" s="530"/>
      <c r="DV38" s="530"/>
      <c r="DW38" s="530"/>
      <c r="DX38" s="530"/>
      <c r="DY38" s="530"/>
      <c r="DZ38" s="530"/>
      <c r="EA38" s="530"/>
      <c r="EB38" s="530"/>
      <c r="EC38" s="530"/>
      <c r="ED38" s="530"/>
      <c r="EE38" s="530"/>
      <c r="EF38" s="530"/>
      <c r="EG38" s="530"/>
      <c r="EH38" s="530"/>
      <c r="EI38" s="530"/>
      <c r="EJ38" s="530"/>
      <c r="EK38" s="530"/>
      <c r="EL38" s="530"/>
      <c r="EM38" s="530"/>
      <c r="EN38" s="530"/>
      <c r="EO38" s="530"/>
      <c r="EP38" s="530"/>
      <c r="EQ38" s="530"/>
      <c r="ER38" s="530"/>
      <c r="ES38" s="530"/>
      <c r="ET38" s="530"/>
      <c r="EU38" s="530"/>
      <c r="EV38" s="530"/>
      <c r="EW38" s="530"/>
      <c r="EX38" s="530"/>
      <c r="EY38" s="530"/>
      <c r="EZ38" s="530"/>
      <c r="FA38" s="530"/>
      <c r="FB38" s="530"/>
      <c r="FC38" s="530"/>
      <c r="FD38" s="530"/>
      <c r="FE38" s="530"/>
      <c r="FF38" s="530"/>
      <c r="FG38" s="530"/>
      <c r="FH38" s="530"/>
      <c r="FI38" s="530"/>
      <c r="FJ38" s="530"/>
      <c r="FK38" s="530"/>
      <c r="FL38" s="530"/>
      <c r="FM38" s="530"/>
      <c r="FN38" s="530"/>
      <c r="FO38" s="530"/>
      <c r="FP38" s="530"/>
      <c r="FQ38" s="530"/>
      <c r="FR38" s="530"/>
      <c r="FS38" s="530"/>
      <c r="FT38" s="530"/>
      <c r="FU38" s="530"/>
      <c r="FV38" s="530"/>
      <c r="FW38" s="530"/>
      <c r="FX38" s="530"/>
      <c r="FY38" s="530"/>
      <c r="FZ38" s="530"/>
      <c r="GA38" s="530"/>
      <c r="GB38" s="530"/>
      <c r="GC38" s="530"/>
      <c r="GD38" s="530"/>
      <c r="GE38" s="530"/>
      <c r="GF38" s="530"/>
      <c r="GG38" s="530"/>
      <c r="GH38" s="530"/>
      <c r="GI38" s="530"/>
      <c r="GJ38" s="530"/>
      <c r="GK38" s="530"/>
      <c r="GL38" s="530"/>
      <c r="GM38" s="530"/>
      <c r="GN38" s="530"/>
      <c r="GO38" s="530"/>
      <c r="GP38" s="530"/>
      <c r="GQ38" s="530"/>
      <c r="GR38" s="530"/>
      <c r="GS38" s="530"/>
      <c r="GT38" s="530"/>
      <c r="GU38" s="530"/>
      <c r="GV38" s="530"/>
      <c r="GW38" s="530"/>
      <c r="GX38" s="530"/>
      <c r="GY38" s="530"/>
      <c r="GZ38" s="530"/>
      <c r="HA38" s="530"/>
      <c r="HB38" s="530"/>
      <c r="HC38" s="530"/>
      <c r="HD38" s="530"/>
      <c r="HE38" s="530"/>
      <c r="HF38" s="530"/>
      <c r="HG38" s="530"/>
      <c r="HH38" s="530"/>
      <c r="HI38" s="530"/>
      <c r="HJ38" s="530"/>
      <c r="HK38" s="530"/>
      <c r="HL38" s="530"/>
      <c r="HM38" s="530"/>
      <c r="HN38" s="530"/>
      <c r="HO38" s="530"/>
      <c r="HP38" s="530"/>
      <c r="HQ38" s="530"/>
      <c r="HR38" s="530"/>
      <c r="HS38" s="530"/>
      <c r="HT38" s="530"/>
      <c r="HU38" s="530"/>
      <c r="HV38" s="530"/>
      <c r="HW38" s="530"/>
      <c r="HX38" s="530"/>
      <c r="HY38" s="530"/>
      <c r="HZ38" s="530"/>
      <c r="IA38" s="530"/>
      <c r="IB38" s="530"/>
      <c r="IC38" s="530"/>
      <c r="ID38" s="530"/>
      <c r="IE38" s="530"/>
      <c r="IF38" s="530"/>
      <c r="IG38" s="530"/>
      <c r="IH38" s="530"/>
      <c r="II38" s="530"/>
      <c r="IJ38" s="530"/>
      <c r="IK38" s="530"/>
      <c r="IL38" s="530"/>
      <c r="IM38" s="530"/>
      <c r="IN38" s="530"/>
      <c r="IO38" s="530"/>
      <c r="IP38" s="530"/>
      <c r="IQ38" s="530"/>
      <c r="IR38" s="530"/>
      <c r="IS38" s="530"/>
      <c r="IT38" s="530"/>
    </row>
    <row r="39" spans="1:254" ht="11.1" customHeight="1" x14ac:dyDescent="0.2">
      <c r="A39" s="547" t="s">
        <v>1977</v>
      </c>
      <c r="B39" s="548">
        <f t="shared" si="0"/>
        <v>29796</v>
      </c>
      <c r="C39" s="549"/>
      <c r="D39" s="550"/>
      <c r="E39" s="548">
        <v>2483</v>
      </c>
      <c r="F39" s="551"/>
      <c r="G39" s="551"/>
      <c r="H39" s="547">
        <f t="shared" si="1"/>
        <v>0</v>
      </c>
      <c r="I39" s="547" t="s">
        <v>1977</v>
      </c>
      <c r="J39" s="548">
        <f t="shared" si="2"/>
        <v>29796</v>
      </c>
      <c r="K39" s="549"/>
      <c r="L39" s="550"/>
      <c r="M39" s="548">
        <v>2483</v>
      </c>
      <c r="N39" s="551"/>
      <c r="O39" s="551"/>
      <c r="P39" s="545"/>
      <c r="Q39" s="546"/>
      <c r="R39" s="546"/>
      <c r="S39" s="530"/>
      <c r="T39" s="530"/>
      <c r="U39" s="530"/>
      <c r="V39" s="530"/>
      <c r="W39" s="530"/>
      <c r="X39" s="530"/>
      <c r="Y39" s="530"/>
      <c r="Z39" s="530"/>
      <c r="AA39" s="530"/>
      <c r="AB39" s="530"/>
      <c r="AC39" s="530"/>
      <c r="AD39" s="530"/>
      <c r="AE39" s="530"/>
      <c r="AF39" s="530"/>
      <c r="AG39" s="530"/>
      <c r="AH39" s="530"/>
      <c r="AI39" s="530"/>
      <c r="AJ39" s="530"/>
      <c r="AK39" s="530"/>
      <c r="AL39" s="530"/>
      <c r="AM39" s="530"/>
      <c r="AN39" s="530"/>
      <c r="AO39" s="530"/>
      <c r="AP39" s="530"/>
      <c r="AQ39" s="530"/>
      <c r="AR39" s="530"/>
      <c r="AS39" s="530"/>
      <c r="AT39" s="530"/>
      <c r="AU39" s="530"/>
      <c r="AV39" s="530"/>
      <c r="AW39" s="530"/>
      <c r="AX39" s="530"/>
      <c r="AY39" s="530"/>
      <c r="AZ39" s="530"/>
      <c r="BA39" s="530"/>
      <c r="BB39" s="530"/>
      <c r="BC39" s="530"/>
      <c r="BD39" s="530"/>
      <c r="BE39" s="530"/>
      <c r="BF39" s="530"/>
      <c r="BG39" s="530"/>
      <c r="BH39" s="530"/>
      <c r="BI39" s="530"/>
      <c r="BJ39" s="530"/>
      <c r="BK39" s="530"/>
      <c r="BL39" s="530"/>
      <c r="BM39" s="530"/>
      <c r="BN39" s="530"/>
      <c r="BO39" s="530"/>
      <c r="BP39" s="530"/>
      <c r="BQ39" s="530"/>
      <c r="BR39" s="530"/>
      <c r="BS39" s="530"/>
      <c r="BT39" s="530"/>
      <c r="BU39" s="530"/>
      <c r="BV39" s="530"/>
      <c r="BW39" s="530"/>
      <c r="BX39" s="530"/>
      <c r="BY39" s="530"/>
      <c r="BZ39" s="530"/>
      <c r="CA39" s="530"/>
      <c r="CB39" s="530"/>
      <c r="CC39" s="530"/>
      <c r="CD39" s="530"/>
      <c r="CE39" s="530"/>
      <c r="CF39" s="530"/>
      <c r="CG39" s="530"/>
      <c r="CH39" s="530"/>
      <c r="CI39" s="530"/>
      <c r="CJ39" s="530"/>
      <c r="CK39" s="530"/>
      <c r="CL39" s="530"/>
      <c r="CM39" s="530"/>
      <c r="CN39" s="530"/>
      <c r="CO39" s="530"/>
      <c r="CP39" s="530"/>
      <c r="CQ39" s="530"/>
      <c r="CR39" s="530"/>
      <c r="CS39" s="530"/>
      <c r="CT39" s="530"/>
      <c r="CU39" s="530"/>
      <c r="CV39" s="530"/>
      <c r="CW39" s="530"/>
      <c r="CX39" s="530"/>
      <c r="CY39" s="530"/>
      <c r="CZ39" s="530"/>
      <c r="DA39" s="530"/>
      <c r="DB39" s="530"/>
      <c r="DC39" s="530"/>
      <c r="DD39" s="530"/>
      <c r="DE39" s="530"/>
      <c r="DF39" s="530"/>
      <c r="DG39" s="530"/>
      <c r="DH39" s="530"/>
      <c r="DI39" s="530"/>
      <c r="DJ39" s="530"/>
      <c r="DK39" s="530"/>
      <c r="DL39" s="530"/>
      <c r="DM39" s="530"/>
      <c r="DN39" s="530"/>
      <c r="DO39" s="530"/>
      <c r="DP39" s="530"/>
      <c r="DQ39" s="530"/>
      <c r="DR39" s="530"/>
      <c r="DS39" s="530"/>
      <c r="DT39" s="530"/>
      <c r="DU39" s="530"/>
      <c r="DV39" s="530"/>
      <c r="DW39" s="530"/>
      <c r="DX39" s="530"/>
      <c r="DY39" s="530"/>
      <c r="DZ39" s="530"/>
      <c r="EA39" s="530"/>
      <c r="EB39" s="530"/>
      <c r="EC39" s="530"/>
      <c r="ED39" s="530"/>
      <c r="EE39" s="530"/>
      <c r="EF39" s="530"/>
      <c r="EG39" s="530"/>
      <c r="EH39" s="530"/>
      <c r="EI39" s="530"/>
      <c r="EJ39" s="530"/>
      <c r="EK39" s="530"/>
      <c r="EL39" s="530"/>
      <c r="EM39" s="530"/>
      <c r="EN39" s="530"/>
      <c r="EO39" s="530"/>
      <c r="EP39" s="530"/>
      <c r="EQ39" s="530"/>
      <c r="ER39" s="530"/>
      <c r="ES39" s="530"/>
      <c r="ET39" s="530"/>
      <c r="EU39" s="530"/>
      <c r="EV39" s="530"/>
      <c r="EW39" s="530"/>
      <c r="EX39" s="530"/>
      <c r="EY39" s="530"/>
      <c r="EZ39" s="530"/>
      <c r="FA39" s="530"/>
      <c r="FB39" s="530"/>
      <c r="FC39" s="530"/>
      <c r="FD39" s="530"/>
      <c r="FE39" s="530"/>
      <c r="FF39" s="530"/>
      <c r="FG39" s="530"/>
      <c r="FH39" s="530"/>
      <c r="FI39" s="530"/>
      <c r="FJ39" s="530"/>
      <c r="FK39" s="530"/>
      <c r="FL39" s="530"/>
      <c r="FM39" s="530"/>
      <c r="FN39" s="530"/>
      <c r="FO39" s="530"/>
      <c r="FP39" s="530"/>
      <c r="FQ39" s="530"/>
      <c r="FR39" s="530"/>
      <c r="FS39" s="530"/>
      <c r="FT39" s="530"/>
      <c r="FU39" s="530"/>
      <c r="FV39" s="530"/>
      <c r="FW39" s="530"/>
      <c r="FX39" s="530"/>
      <c r="FY39" s="530"/>
      <c r="FZ39" s="530"/>
      <c r="GA39" s="530"/>
      <c r="GB39" s="530"/>
      <c r="GC39" s="530"/>
      <c r="GD39" s="530"/>
      <c r="GE39" s="530"/>
      <c r="GF39" s="530"/>
      <c r="GG39" s="530"/>
      <c r="GH39" s="530"/>
      <c r="GI39" s="530"/>
      <c r="GJ39" s="530"/>
      <c r="GK39" s="530"/>
      <c r="GL39" s="530"/>
      <c r="GM39" s="530"/>
      <c r="GN39" s="530"/>
      <c r="GO39" s="530"/>
      <c r="GP39" s="530"/>
      <c r="GQ39" s="530"/>
      <c r="GR39" s="530"/>
      <c r="GS39" s="530"/>
      <c r="GT39" s="530"/>
      <c r="GU39" s="530"/>
      <c r="GV39" s="530"/>
      <c r="GW39" s="530"/>
      <c r="GX39" s="530"/>
      <c r="GY39" s="530"/>
      <c r="GZ39" s="530"/>
      <c r="HA39" s="530"/>
      <c r="HB39" s="530"/>
      <c r="HC39" s="530"/>
      <c r="HD39" s="530"/>
      <c r="HE39" s="530"/>
      <c r="HF39" s="530"/>
      <c r="HG39" s="530"/>
      <c r="HH39" s="530"/>
      <c r="HI39" s="530"/>
      <c r="HJ39" s="530"/>
      <c r="HK39" s="530"/>
      <c r="HL39" s="530"/>
      <c r="HM39" s="530"/>
      <c r="HN39" s="530"/>
      <c r="HO39" s="530"/>
      <c r="HP39" s="530"/>
      <c r="HQ39" s="530"/>
      <c r="HR39" s="530"/>
      <c r="HS39" s="530"/>
      <c r="HT39" s="530"/>
      <c r="HU39" s="530"/>
      <c r="HV39" s="530"/>
      <c r="HW39" s="530"/>
      <c r="HX39" s="530"/>
      <c r="HY39" s="530"/>
      <c r="HZ39" s="530"/>
      <c r="IA39" s="530"/>
      <c r="IB39" s="530"/>
      <c r="IC39" s="530"/>
      <c r="ID39" s="530"/>
      <c r="IE39" s="530"/>
      <c r="IF39" s="530"/>
      <c r="IG39" s="530"/>
      <c r="IH39" s="530"/>
      <c r="II39" s="530"/>
      <c r="IJ39" s="530"/>
      <c r="IK39" s="530"/>
      <c r="IL39" s="530"/>
      <c r="IM39" s="530"/>
      <c r="IN39" s="530"/>
      <c r="IO39" s="530"/>
      <c r="IP39" s="530"/>
      <c r="IQ39" s="530"/>
      <c r="IR39" s="530"/>
      <c r="IS39" s="530"/>
      <c r="IT39" s="530"/>
    </row>
    <row r="40" spans="1:254" ht="11.1" customHeight="1" x14ac:dyDescent="0.2">
      <c r="A40" s="552" t="s">
        <v>1978</v>
      </c>
      <c r="B40" s="553">
        <f t="shared" si="0"/>
        <v>28596</v>
      </c>
      <c r="C40" s="554"/>
      <c r="D40" s="555"/>
      <c r="E40" s="553">
        <v>2383</v>
      </c>
      <c r="F40" s="556"/>
      <c r="G40" s="556"/>
      <c r="H40" s="552">
        <f t="shared" si="1"/>
        <v>0</v>
      </c>
      <c r="I40" s="552" t="s">
        <v>1978</v>
      </c>
      <c r="J40" s="553">
        <f t="shared" si="2"/>
        <v>28596</v>
      </c>
      <c r="K40" s="554"/>
      <c r="L40" s="555"/>
      <c r="M40" s="553">
        <v>2383</v>
      </c>
      <c r="N40" s="556"/>
      <c r="O40" s="556"/>
      <c r="P40" s="545"/>
      <c r="Q40" s="546"/>
      <c r="R40" s="546"/>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530"/>
      <c r="AR40" s="530"/>
      <c r="AS40" s="530"/>
      <c r="AT40" s="530"/>
      <c r="AU40" s="530"/>
      <c r="AV40" s="530"/>
      <c r="AW40" s="530"/>
      <c r="AX40" s="530"/>
      <c r="AY40" s="530"/>
      <c r="AZ40" s="530"/>
      <c r="BA40" s="530"/>
      <c r="BB40" s="530"/>
      <c r="BC40" s="530"/>
      <c r="BD40" s="530"/>
      <c r="BE40" s="530"/>
      <c r="BF40" s="530"/>
      <c r="BG40" s="530"/>
      <c r="BH40" s="530"/>
      <c r="BI40" s="530"/>
      <c r="BJ40" s="530"/>
      <c r="BK40" s="530"/>
      <c r="BL40" s="530"/>
      <c r="BM40" s="530"/>
      <c r="BN40" s="530"/>
      <c r="BO40" s="530"/>
      <c r="BP40" s="530"/>
      <c r="BQ40" s="530"/>
      <c r="BR40" s="530"/>
      <c r="BS40" s="530"/>
      <c r="BT40" s="530"/>
      <c r="BU40" s="530"/>
      <c r="BV40" s="530"/>
      <c r="BW40" s="530"/>
      <c r="BX40" s="530"/>
      <c r="BY40" s="530"/>
      <c r="BZ40" s="530"/>
      <c r="CA40" s="530"/>
      <c r="CB40" s="530"/>
      <c r="CC40" s="530"/>
      <c r="CD40" s="530"/>
      <c r="CE40" s="530"/>
      <c r="CF40" s="530"/>
      <c r="CG40" s="530"/>
      <c r="CH40" s="530"/>
      <c r="CI40" s="530"/>
      <c r="CJ40" s="530"/>
      <c r="CK40" s="530"/>
      <c r="CL40" s="530"/>
      <c r="CM40" s="530"/>
      <c r="CN40" s="530"/>
      <c r="CO40" s="530"/>
      <c r="CP40" s="530"/>
      <c r="CQ40" s="530"/>
      <c r="CR40" s="530"/>
      <c r="CS40" s="530"/>
      <c r="CT40" s="530"/>
      <c r="CU40" s="530"/>
      <c r="CV40" s="530"/>
      <c r="CW40" s="530"/>
      <c r="CX40" s="530"/>
      <c r="CY40" s="530"/>
      <c r="CZ40" s="530"/>
      <c r="DA40" s="530"/>
      <c r="DB40" s="530"/>
      <c r="DC40" s="530"/>
      <c r="DD40" s="530"/>
      <c r="DE40" s="530"/>
      <c r="DF40" s="530"/>
      <c r="DG40" s="530"/>
      <c r="DH40" s="530"/>
      <c r="DI40" s="530"/>
      <c r="DJ40" s="530"/>
      <c r="DK40" s="530"/>
      <c r="DL40" s="530"/>
      <c r="DM40" s="530"/>
      <c r="DN40" s="530"/>
      <c r="DO40" s="530"/>
      <c r="DP40" s="530"/>
      <c r="DQ40" s="530"/>
      <c r="DR40" s="530"/>
      <c r="DS40" s="530"/>
      <c r="DT40" s="530"/>
      <c r="DU40" s="530"/>
      <c r="DV40" s="530"/>
      <c r="DW40" s="530"/>
      <c r="DX40" s="530"/>
      <c r="DY40" s="530"/>
      <c r="DZ40" s="530"/>
      <c r="EA40" s="530"/>
      <c r="EB40" s="530"/>
      <c r="EC40" s="530"/>
      <c r="ED40" s="530"/>
      <c r="EE40" s="530"/>
      <c r="EF40" s="530"/>
      <c r="EG40" s="530"/>
      <c r="EH40" s="530"/>
      <c r="EI40" s="530"/>
      <c r="EJ40" s="530"/>
      <c r="EK40" s="530"/>
      <c r="EL40" s="530"/>
      <c r="EM40" s="530"/>
      <c r="EN40" s="530"/>
      <c r="EO40" s="530"/>
      <c r="EP40" s="530"/>
      <c r="EQ40" s="530"/>
      <c r="ER40" s="530"/>
      <c r="ES40" s="530"/>
      <c r="ET40" s="530"/>
      <c r="EU40" s="530"/>
      <c r="EV40" s="530"/>
      <c r="EW40" s="530"/>
      <c r="EX40" s="530"/>
      <c r="EY40" s="530"/>
      <c r="EZ40" s="530"/>
      <c r="FA40" s="530"/>
      <c r="FB40" s="530"/>
      <c r="FC40" s="530"/>
      <c r="FD40" s="530"/>
      <c r="FE40" s="530"/>
      <c r="FF40" s="530"/>
      <c r="FG40" s="530"/>
      <c r="FH40" s="530"/>
      <c r="FI40" s="530"/>
      <c r="FJ40" s="530"/>
      <c r="FK40" s="530"/>
      <c r="FL40" s="530"/>
      <c r="FM40" s="530"/>
      <c r="FN40" s="530"/>
      <c r="FO40" s="530"/>
      <c r="FP40" s="530"/>
      <c r="FQ40" s="530"/>
      <c r="FR40" s="530"/>
      <c r="FS40" s="530"/>
      <c r="FT40" s="530"/>
      <c r="FU40" s="530"/>
      <c r="FV40" s="530"/>
      <c r="FW40" s="530"/>
      <c r="FX40" s="530"/>
      <c r="FY40" s="530"/>
      <c r="FZ40" s="530"/>
      <c r="GA40" s="530"/>
      <c r="GB40" s="530"/>
      <c r="GC40" s="530"/>
      <c r="GD40" s="530"/>
      <c r="GE40" s="530"/>
      <c r="GF40" s="530"/>
      <c r="GG40" s="530"/>
      <c r="GH40" s="530"/>
      <c r="GI40" s="530"/>
      <c r="GJ40" s="530"/>
      <c r="GK40" s="530"/>
      <c r="GL40" s="530"/>
      <c r="GM40" s="530"/>
      <c r="GN40" s="530"/>
      <c r="GO40" s="530"/>
      <c r="GP40" s="530"/>
      <c r="GQ40" s="530"/>
      <c r="GR40" s="530"/>
      <c r="GS40" s="530"/>
      <c r="GT40" s="530"/>
      <c r="GU40" s="530"/>
      <c r="GV40" s="530"/>
      <c r="GW40" s="530"/>
      <c r="GX40" s="530"/>
      <c r="GY40" s="530"/>
      <c r="GZ40" s="530"/>
      <c r="HA40" s="530"/>
      <c r="HB40" s="530"/>
      <c r="HC40" s="530"/>
      <c r="HD40" s="530"/>
      <c r="HE40" s="530"/>
      <c r="HF40" s="530"/>
      <c r="HG40" s="530"/>
      <c r="HH40" s="530"/>
      <c r="HI40" s="530"/>
      <c r="HJ40" s="530"/>
      <c r="HK40" s="530"/>
      <c r="HL40" s="530"/>
      <c r="HM40" s="530"/>
      <c r="HN40" s="530"/>
      <c r="HO40" s="530"/>
      <c r="HP40" s="530"/>
      <c r="HQ40" s="530"/>
      <c r="HR40" s="530"/>
      <c r="HS40" s="530"/>
      <c r="HT40" s="530"/>
      <c r="HU40" s="530"/>
      <c r="HV40" s="530"/>
      <c r="HW40" s="530"/>
      <c r="HX40" s="530"/>
      <c r="HY40" s="530"/>
      <c r="HZ40" s="530"/>
      <c r="IA40" s="530"/>
      <c r="IB40" s="530"/>
      <c r="IC40" s="530"/>
      <c r="ID40" s="530"/>
      <c r="IE40" s="530"/>
      <c r="IF40" s="530"/>
      <c r="IG40" s="530"/>
      <c r="IH40" s="530"/>
      <c r="II40" s="530"/>
      <c r="IJ40" s="530"/>
      <c r="IK40" s="530"/>
      <c r="IL40" s="530"/>
      <c r="IM40" s="530"/>
      <c r="IN40" s="530"/>
      <c r="IO40" s="530"/>
      <c r="IP40" s="530"/>
      <c r="IQ40" s="530"/>
      <c r="IR40" s="530"/>
      <c r="IS40" s="530"/>
      <c r="IT40" s="530"/>
    </row>
    <row r="41" spans="1:254" ht="11.1" customHeight="1" x14ac:dyDescent="0.2">
      <c r="A41" s="547" t="s">
        <v>1979</v>
      </c>
      <c r="B41" s="548">
        <f t="shared" si="0"/>
        <v>27396</v>
      </c>
      <c r="C41" s="549"/>
      <c r="D41" s="550"/>
      <c r="E41" s="548">
        <v>2283</v>
      </c>
      <c r="F41" s="551"/>
      <c r="G41" s="551"/>
      <c r="H41" s="547">
        <f t="shared" si="1"/>
        <v>0</v>
      </c>
      <c r="I41" s="547" t="s">
        <v>1979</v>
      </c>
      <c r="J41" s="548">
        <f t="shared" si="2"/>
        <v>27396</v>
      </c>
      <c r="K41" s="549"/>
      <c r="L41" s="550"/>
      <c r="M41" s="548">
        <v>2283</v>
      </c>
      <c r="N41" s="551"/>
      <c r="O41" s="551"/>
      <c r="P41" s="545"/>
      <c r="Q41" s="546"/>
      <c r="R41" s="546"/>
      <c r="S41" s="530"/>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c r="AP41" s="530"/>
      <c r="AQ41" s="530"/>
      <c r="AR41" s="530"/>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0"/>
      <c r="BS41" s="530"/>
      <c r="BT41" s="530"/>
      <c r="BU41" s="530"/>
      <c r="BV41" s="530"/>
      <c r="BW41" s="530"/>
      <c r="BX41" s="530"/>
      <c r="BY41" s="530"/>
      <c r="BZ41" s="530"/>
      <c r="CA41" s="530"/>
      <c r="CB41" s="530"/>
      <c r="CC41" s="530"/>
      <c r="CD41" s="530"/>
      <c r="CE41" s="530"/>
      <c r="CF41" s="530"/>
      <c r="CG41" s="530"/>
      <c r="CH41" s="530"/>
      <c r="CI41" s="530"/>
      <c r="CJ41" s="530"/>
      <c r="CK41" s="530"/>
      <c r="CL41" s="530"/>
      <c r="CM41" s="530"/>
      <c r="CN41" s="530"/>
      <c r="CO41" s="530"/>
      <c r="CP41" s="530"/>
      <c r="CQ41" s="530"/>
      <c r="CR41" s="530"/>
      <c r="CS41" s="530"/>
      <c r="CT41" s="530"/>
      <c r="CU41" s="530"/>
      <c r="CV41" s="530"/>
      <c r="CW41" s="530"/>
      <c r="CX41" s="530"/>
      <c r="CY41" s="530"/>
      <c r="CZ41" s="530"/>
      <c r="DA41" s="530"/>
      <c r="DB41" s="530"/>
      <c r="DC41" s="530"/>
      <c r="DD41" s="530"/>
      <c r="DE41" s="530"/>
      <c r="DF41" s="530"/>
      <c r="DG41" s="530"/>
      <c r="DH41" s="530"/>
      <c r="DI41" s="530"/>
      <c r="DJ41" s="530"/>
      <c r="DK41" s="530"/>
      <c r="DL41" s="530"/>
      <c r="DM41" s="530"/>
      <c r="DN41" s="530"/>
      <c r="DO41" s="530"/>
      <c r="DP41" s="530"/>
      <c r="DQ41" s="530"/>
      <c r="DR41" s="530"/>
      <c r="DS41" s="530"/>
      <c r="DT41" s="530"/>
      <c r="DU41" s="530"/>
      <c r="DV41" s="530"/>
      <c r="DW41" s="530"/>
      <c r="DX41" s="530"/>
      <c r="DY41" s="530"/>
      <c r="DZ41" s="530"/>
      <c r="EA41" s="530"/>
      <c r="EB41" s="530"/>
      <c r="EC41" s="530"/>
      <c r="ED41" s="530"/>
      <c r="EE41" s="530"/>
      <c r="EF41" s="530"/>
      <c r="EG41" s="530"/>
      <c r="EH41" s="530"/>
      <c r="EI41" s="530"/>
      <c r="EJ41" s="530"/>
      <c r="EK41" s="530"/>
      <c r="EL41" s="530"/>
      <c r="EM41" s="530"/>
      <c r="EN41" s="530"/>
      <c r="EO41" s="530"/>
      <c r="EP41" s="530"/>
      <c r="EQ41" s="530"/>
      <c r="ER41" s="530"/>
      <c r="ES41" s="530"/>
      <c r="ET41" s="530"/>
      <c r="EU41" s="530"/>
      <c r="EV41" s="530"/>
      <c r="EW41" s="530"/>
      <c r="EX41" s="530"/>
      <c r="EY41" s="530"/>
      <c r="EZ41" s="530"/>
      <c r="FA41" s="530"/>
      <c r="FB41" s="530"/>
      <c r="FC41" s="530"/>
      <c r="FD41" s="530"/>
      <c r="FE41" s="530"/>
      <c r="FF41" s="530"/>
      <c r="FG41" s="530"/>
      <c r="FH41" s="530"/>
      <c r="FI41" s="530"/>
      <c r="FJ41" s="530"/>
      <c r="FK41" s="530"/>
      <c r="FL41" s="530"/>
      <c r="FM41" s="530"/>
      <c r="FN41" s="530"/>
      <c r="FO41" s="530"/>
      <c r="FP41" s="530"/>
      <c r="FQ41" s="530"/>
      <c r="FR41" s="530"/>
      <c r="FS41" s="530"/>
      <c r="FT41" s="530"/>
      <c r="FU41" s="530"/>
      <c r="FV41" s="530"/>
      <c r="FW41" s="530"/>
      <c r="FX41" s="530"/>
      <c r="FY41" s="530"/>
      <c r="FZ41" s="530"/>
      <c r="GA41" s="530"/>
      <c r="GB41" s="530"/>
      <c r="GC41" s="530"/>
      <c r="GD41" s="530"/>
      <c r="GE41" s="530"/>
      <c r="GF41" s="530"/>
      <c r="GG41" s="530"/>
      <c r="GH41" s="530"/>
      <c r="GI41" s="530"/>
      <c r="GJ41" s="530"/>
      <c r="GK41" s="530"/>
      <c r="GL41" s="530"/>
      <c r="GM41" s="530"/>
      <c r="GN41" s="530"/>
      <c r="GO41" s="530"/>
      <c r="GP41" s="530"/>
      <c r="GQ41" s="530"/>
      <c r="GR41" s="530"/>
      <c r="GS41" s="530"/>
      <c r="GT41" s="530"/>
      <c r="GU41" s="530"/>
      <c r="GV41" s="530"/>
      <c r="GW41" s="530"/>
      <c r="GX41" s="530"/>
      <c r="GY41" s="530"/>
      <c r="GZ41" s="530"/>
      <c r="HA41" s="530"/>
      <c r="HB41" s="530"/>
      <c r="HC41" s="530"/>
      <c r="HD41" s="530"/>
      <c r="HE41" s="530"/>
      <c r="HF41" s="530"/>
      <c r="HG41" s="530"/>
      <c r="HH41" s="530"/>
      <c r="HI41" s="530"/>
      <c r="HJ41" s="530"/>
      <c r="HK41" s="530"/>
      <c r="HL41" s="530"/>
      <c r="HM41" s="530"/>
      <c r="HN41" s="530"/>
      <c r="HO41" s="530"/>
      <c r="HP41" s="530"/>
      <c r="HQ41" s="530"/>
      <c r="HR41" s="530"/>
      <c r="HS41" s="530"/>
      <c r="HT41" s="530"/>
      <c r="HU41" s="530"/>
      <c r="HV41" s="530"/>
      <c r="HW41" s="530"/>
      <c r="HX41" s="530"/>
      <c r="HY41" s="530"/>
      <c r="HZ41" s="530"/>
      <c r="IA41" s="530"/>
      <c r="IB41" s="530"/>
      <c r="IC41" s="530"/>
      <c r="ID41" s="530"/>
      <c r="IE41" s="530"/>
      <c r="IF41" s="530"/>
      <c r="IG41" s="530"/>
      <c r="IH41" s="530"/>
      <c r="II41" s="530"/>
      <c r="IJ41" s="530"/>
      <c r="IK41" s="530"/>
      <c r="IL41" s="530"/>
      <c r="IM41" s="530"/>
      <c r="IN41" s="530"/>
      <c r="IO41" s="530"/>
      <c r="IP41" s="530"/>
      <c r="IQ41" s="530"/>
      <c r="IR41" s="530"/>
      <c r="IS41" s="530"/>
      <c r="IT41" s="530"/>
    </row>
    <row r="42" spans="1:254" ht="11.1" customHeight="1" x14ac:dyDescent="0.2">
      <c r="A42" s="552" t="s">
        <v>1980</v>
      </c>
      <c r="B42" s="553">
        <f t="shared" si="0"/>
        <v>26196</v>
      </c>
      <c r="C42" s="554"/>
      <c r="D42" s="555"/>
      <c r="E42" s="553">
        <v>2183</v>
      </c>
      <c r="F42" s="556"/>
      <c r="G42" s="556"/>
      <c r="H42" s="552">
        <f t="shared" si="1"/>
        <v>0</v>
      </c>
      <c r="I42" s="552" t="s">
        <v>1980</v>
      </c>
      <c r="J42" s="553">
        <f t="shared" si="2"/>
        <v>26196</v>
      </c>
      <c r="K42" s="554"/>
      <c r="L42" s="555"/>
      <c r="M42" s="553">
        <v>2183</v>
      </c>
      <c r="N42" s="556"/>
      <c r="O42" s="556"/>
      <c r="P42" s="545"/>
      <c r="Q42" s="546"/>
      <c r="R42" s="546"/>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530"/>
      <c r="BQ42" s="530"/>
      <c r="BR42" s="530"/>
      <c r="BS42" s="530"/>
      <c r="BT42" s="530"/>
      <c r="BU42" s="530"/>
      <c r="BV42" s="530"/>
      <c r="BW42" s="530"/>
      <c r="BX42" s="530"/>
      <c r="BY42" s="530"/>
      <c r="BZ42" s="530"/>
      <c r="CA42" s="530"/>
      <c r="CB42" s="530"/>
      <c r="CC42" s="530"/>
      <c r="CD42" s="530"/>
      <c r="CE42" s="530"/>
      <c r="CF42" s="530"/>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0"/>
      <c r="DC42" s="530"/>
      <c r="DD42" s="530"/>
      <c r="DE42" s="530"/>
      <c r="DF42" s="530"/>
      <c r="DG42" s="530"/>
      <c r="DH42" s="530"/>
      <c r="DI42" s="530"/>
      <c r="DJ42" s="530"/>
      <c r="DK42" s="530"/>
      <c r="DL42" s="530"/>
      <c r="DM42" s="530"/>
      <c r="DN42" s="530"/>
      <c r="DO42" s="530"/>
      <c r="DP42" s="530"/>
      <c r="DQ42" s="530"/>
      <c r="DR42" s="530"/>
      <c r="DS42" s="530"/>
      <c r="DT42" s="530"/>
      <c r="DU42" s="530"/>
      <c r="DV42" s="530"/>
      <c r="DW42" s="530"/>
      <c r="DX42" s="530"/>
      <c r="DY42" s="530"/>
      <c r="DZ42" s="530"/>
      <c r="EA42" s="530"/>
      <c r="EB42" s="530"/>
      <c r="EC42" s="530"/>
      <c r="ED42" s="530"/>
      <c r="EE42" s="530"/>
      <c r="EF42" s="530"/>
      <c r="EG42" s="530"/>
      <c r="EH42" s="530"/>
      <c r="EI42" s="530"/>
      <c r="EJ42" s="530"/>
      <c r="EK42" s="530"/>
      <c r="EL42" s="530"/>
      <c r="EM42" s="530"/>
      <c r="EN42" s="530"/>
      <c r="EO42" s="530"/>
      <c r="EP42" s="530"/>
      <c r="EQ42" s="530"/>
      <c r="ER42" s="530"/>
      <c r="ES42" s="530"/>
      <c r="ET42" s="530"/>
      <c r="EU42" s="530"/>
      <c r="EV42" s="530"/>
      <c r="EW42" s="530"/>
      <c r="EX42" s="530"/>
      <c r="EY42" s="530"/>
      <c r="EZ42" s="530"/>
      <c r="FA42" s="530"/>
      <c r="FB42" s="530"/>
      <c r="FC42" s="530"/>
      <c r="FD42" s="530"/>
      <c r="FE42" s="530"/>
      <c r="FF42" s="530"/>
      <c r="FG42" s="530"/>
      <c r="FH42" s="530"/>
      <c r="FI42" s="530"/>
      <c r="FJ42" s="530"/>
      <c r="FK42" s="530"/>
      <c r="FL42" s="530"/>
      <c r="FM42" s="530"/>
      <c r="FN42" s="530"/>
      <c r="FO42" s="530"/>
      <c r="FP42" s="530"/>
      <c r="FQ42" s="530"/>
      <c r="FR42" s="530"/>
      <c r="FS42" s="530"/>
      <c r="FT42" s="530"/>
      <c r="FU42" s="530"/>
      <c r="FV42" s="530"/>
      <c r="FW42" s="530"/>
      <c r="FX42" s="530"/>
      <c r="FY42" s="530"/>
      <c r="FZ42" s="530"/>
      <c r="GA42" s="530"/>
      <c r="GB42" s="530"/>
      <c r="GC42" s="530"/>
      <c r="GD42" s="530"/>
      <c r="GE42" s="530"/>
      <c r="GF42" s="530"/>
      <c r="GG42" s="530"/>
      <c r="GH42" s="530"/>
      <c r="GI42" s="530"/>
      <c r="GJ42" s="530"/>
      <c r="GK42" s="530"/>
      <c r="GL42" s="530"/>
      <c r="GM42" s="530"/>
      <c r="GN42" s="530"/>
      <c r="GO42" s="530"/>
      <c r="GP42" s="530"/>
      <c r="GQ42" s="530"/>
      <c r="GR42" s="530"/>
      <c r="GS42" s="530"/>
      <c r="GT42" s="530"/>
      <c r="GU42" s="530"/>
      <c r="GV42" s="530"/>
      <c r="GW42" s="530"/>
      <c r="GX42" s="530"/>
      <c r="GY42" s="530"/>
      <c r="GZ42" s="530"/>
      <c r="HA42" s="530"/>
      <c r="HB42" s="530"/>
      <c r="HC42" s="530"/>
      <c r="HD42" s="530"/>
      <c r="HE42" s="530"/>
      <c r="HF42" s="530"/>
      <c r="HG42" s="530"/>
      <c r="HH42" s="530"/>
      <c r="HI42" s="530"/>
      <c r="HJ42" s="530"/>
      <c r="HK42" s="530"/>
      <c r="HL42" s="530"/>
      <c r="HM42" s="530"/>
      <c r="HN42" s="530"/>
      <c r="HO42" s="530"/>
      <c r="HP42" s="530"/>
      <c r="HQ42" s="530"/>
      <c r="HR42" s="530"/>
      <c r="HS42" s="530"/>
      <c r="HT42" s="530"/>
      <c r="HU42" s="530"/>
      <c r="HV42" s="530"/>
      <c r="HW42" s="530"/>
      <c r="HX42" s="530"/>
      <c r="HY42" s="530"/>
      <c r="HZ42" s="530"/>
      <c r="IA42" s="530"/>
      <c r="IB42" s="530"/>
      <c r="IC42" s="530"/>
      <c r="ID42" s="530"/>
      <c r="IE42" s="530"/>
      <c r="IF42" s="530"/>
      <c r="IG42" s="530"/>
      <c r="IH42" s="530"/>
      <c r="II42" s="530"/>
      <c r="IJ42" s="530"/>
      <c r="IK42" s="530"/>
      <c r="IL42" s="530"/>
      <c r="IM42" s="530"/>
      <c r="IN42" s="530"/>
      <c r="IO42" s="530"/>
      <c r="IP42" s="530"/>
      <c r="IQ42" s="530"/>
      <c r="IR42" s="530"/>
      <c r="IS42" s="530"/>
      <c r="IT42" s="530"/>
    </row>
    <row r="43" spans="1:254" ht="11.1" customHeight="1" x14ac:dyDescent="0.2">
      <c r="A43" s="547" t="s">
        <v>1981</v>
      </c>
      <c r="B43" s="548">
        <f t="shared" si="0"/>
        <v>24996</v>
      </c>
      <c r="C43" s="549" t="s">
        <v>1948</v>
      </c>
      <c r="D43" s="550">
        <f>G43*12</f>
        <v>1200</v>
      </c>
      <c r="E43" s="548">
        <v>2083</v>
      </c>
      <c r="F43" s="551" t="s">
        <v>1948</v>
      </c>
      <c r="G43" s="551">
        <v>100</v>
      </c>
      <c r="H43" s="547">
        <f t="shared" si="1"/>
        <v>0</v>
      </c>
      <c r="I43" s="547" t="s">
        <v>1981</v>
      </c>
      <c r="J43" s="548">
        <f t="shared" si="2"/>
        <v>24996</v>
      </c>
      <c r="K43" s="549" t="s">
        <v>1948</v>
      </c>
      <c r="L43" s="550">
        <f>O43*12</f>
        <v>1200</v>
      </c>
      <c r="M43" s="548">
        <v>2083</v>
      </c>
      <c r="N43" s="551" t="s">
        <v>1948</v>
      </c>
      <c r="O43" s="551">
        <v>100</v>
      </c>
      <c r="P43" s="545"/>
      <c r="Q43" s="546"/>
      <c r="R43" s="546"/>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c r="DH43" s="530"/>
      <c r="DI43" s="530"/>
      <c r="DJ43" s="530"/>
      <c r="DK43" s="530"/>
      <c r="DL43" s="530"/>
      <c r="DM43" s="530"/>
      <c r="DN43" s="530"/>
      <c r="DO43" s="530"/>
      <c r="DP43" s="530"/>
      <c r="DQ43" s="530"/>
      <c r="DR43" s="530"/>
      <c r="DS43" s="530"/>
      <c r="DT43" s="530"/>
      <c r="DU43" s="530"/>
      <c r="DV43" s="530"/>
      <c r="DW43" s="530"/>
      <c r="DX43" s="530"/>
      <c r="DY43" s="530"/>
      <c r="DZ43" s="530"/>
      <c r="EA43" s="530"/>
      <c r="EB43" s="530"/>
      <c r="EC43" s="530"/>
      <c r="ED43" s="530"/>
      <c r="EE43" s="530"/>
      <c r="EF43" s="530"/>
      <c r="EG43" s="530"/>
      <c r="EH43" s="530"/>
      <c r="EI43" s="530"/>
      <c r="EJ43" s="530"/>
      <c r="EK43" s="530"/>
      <c r="EL43" s="530"/>
      <c r="EM43" s="530"/>
      <c r="EN43" s="530"/>
      <c r="EO43" s="530"/>
      <c r="EP43" s="530"/>
      <c r="EQ43" s="530"/>
      <c r="ER43" s="530"/>
      <c r="ES43" s="530"/>
      <c r="ET43" s="530"/>
      <c r="EU43" s="530"/>
      <c r="EV43" s="530"/>
      <c r="EW43" s="530"/>
      <c r="EX43" s="530"/>
      <c r="EY43" s="530"/>
      <c r="EZ43" s="530"/>
      <c r="FA43" s="530"/>
      <c r="FB43" s="530"/>
      <c r="FC43" s="530"/>
      <c r="FD43" s="530"/>
      <c r="FE43" s="530"/>
      <c r="FF43" s="530"/>
      <c r="FG43" s="530"/>
      <c r="FH43" s="530"/>
      <c r="FI43" s="530"/>
      <c r="FJ43" s="530"/>
      <c r="FK43" s="530"/>
      <c r="FL43" s="530"/>
      <c r="FM43" s="530"/>
      <c r="FN43" s="530"/>
      <c r="FO43" s="530"/>
      <c r="FP43" s="530"/>
      <c r="FQ43" s="530"/>
      <c r="FR43" s="530"/>
      <c r="FS43" s="530"/>
      <c r="FT43" s="530"/>
      <c r="FU43" s="530"/>
      <c r="FV43" s="530"/>
      <c r="FW43" s="530"/>
      <c r="FX43" s="530"/>
      <c r="FY43" s="530"/>
      <c r="FZ43" s="530"/>
      <c r="GA43" s="530"/>
      <c r="GB43" s="530"/>
      <c r="GC43" s="530"/>
      <c r="GD43" s="530"/>
      <c r="GE43" s="530"/>
      <c r="GF43" s="530"/>
      <c r="GG43" s="530"/>
      <c r="GH43" s="530"/>
      <c r="GI43" s="530"/>
      <c r="GJ43" s="530"/>
      <c r="GK43" s="530"/>
      <c r="GL43" s="530"/>
      <c r="GM43" s="530"/>
      <c r="GN43" s="530"/>
      <c r="GO43" s="530"/>
      <c r="GP43" s="530"/>
      <c r="GQ43" s="530"/>
      <c r="GR43" s="530"/>
      <c r="GS43" s="530"/>
      <c r="GT43" s="530"/>
      <c r="GU43" s="530"/>
      <c r="GV43" s="530"/>
      <c r="GW43" s="530"/>
      <c r="GX43" s="530"/>
      <c r="GY43" s="530"/>
      <c r="GZ43" s="530"/>
      <c r="HA43" s="530"/>
      <c r="HB43" s="530"/>
      <c r="HC43" s="530"/>
      <c r="HD43" s="530"/>
      <c r="HE43" s="530"/>
      <c r="HF43" s="530"/>
      <c r="HG43" s="530"/>
      <c r="HH43" s="530"/>
      <c r="HI43" s="530"/>
      <c r="HJ43" s="530"/>
      <c r="HK43" s="530"/>
      <c r="HL43" s="530"/>
      <c r="HM43" s="530"/>
      <c r="HN43" s="530"/>
      <c r="HO43" s="530"/>
      <c r="HP43" s="530"/>
      <c r="HQ43" s="530"/>
      <c r="HR43" s="530"/>
      <c r="HS43" s="530"/>
      <c r="HT43" s="530"/>
      <c r="HU43" s="530"/>
      <c r="HV43" s="530"/>
      <c r="HW43" s="530"/>
      <c r="HX43" s="530"/>
      <c r="HY43" s="530"/>
      <c r="HZ43" s="530"/>
      <c r="IA43" s="530"/>
      <c r="IB43" s="530"/>
      <c r="IC43" s="530"/>
      <c r="ID43" s="530"/>
      <c r="IE43" s="530"/>
      <c r="IF43" s="530"/>
      <c r="IG43" s="530"/>
      <c r="IH43" s="530"/>
      <c r="II43" s="530"/>
      <c r="IJ43" s="530"/>
      <c r="IK43" s="530"/>
      <c r="IL43" s="530"/>
      <c r="IM43" s="530"/>
      <c r="IN43" s="530"/>
      <c r="IO43" s="530"/>
      <c r="IP43" s="530"/>
      <c r="IQ43" s="530"/>
      <c r="IR43" s="530"/>
      <c r="IS43" s="530"/>
      <c r="IT43" s="530"/>
    </row>
    <row r="44" spans="1:254" ht="11.1" customHeight="1" x14ac:dyDescent="0.2">
      <c r="A44" s="552" t="s">
        <v>1982</v>
      </c>
      <c r="B44" s="553">
        <f t="shared" si="0"/>
        <v>24288</v>
      </c>
      <c r="C44" s="554"/>
      <c r="D44" s="555"/>
      <c r="E44" s="553">
        <v>2024</v>
      </c>
      <c r="F44" s="556"/>
      <c r="G44" s="556"/>
      <c r="H44" s="552">
        <f t="shared" si="1"/>
        <v>0</v>
      </c>
      <c r="I44" s="552" t="s">
        <v>1982</v>
      </c>
      <c r="J44" s="553">
        <f t="shared" si="2"/>
        <v>24288</v>
      </c>
      <c r="K44" s="554"/>
      <c r="L44" s="555"/>
      <c r="M44" s="553">
        <v>2024</v>
      </c>
      <c r="N44" s="556"/>
      <c r="O44" s="556"/>
      <c r="P44" s="545"/>
      <c r="Q44" s="546"/>
      <c r="R44" s="546"/>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30"/>
      <c r="DF44" s="530"/>
      <c r="DG44" s="530"/>
      <c r="DH44" s="530"/>
      <c r="DI44" s="530"/>
      <c r="DJ44" s="530"/>
      <c r="DK44" s="530"/>
      <c r="DL44" s="530"/>
      <c r="DM44" s="530"/>
      <c r="DN44" s="530"/>
      <c r="DO44" s="530"/>
      <c r="DP44" s="530"/>
      <c r="DQ44" s="530"/>
      <c r="DR44" s="530"/>
      <c r="DS44" s="530"/>
      <c r="DT44" s="530"/>
      <c r="DU44" s="530"/>
      <c r="DV44" s="530"/>
      <c r="DW44" s="530"/>
      <c r="DX44" s="530"/>
      <c r="DY44" s="530"/>
      <c r="DZ44" s="530"/>
      <c r="EA44" s="530"/>
      <c r="EB44" s="530"/>
      <c r="EC44" s="530"/>
      <c r="ED44" s="530"/>
      <c r="EE44" s="530"/>
      <c r="EF44" s="530"/>
      <c r="EG44" s="530"/>
      <c r="EH44" s="530"/>
      <c r="EI44" s="530"/>
      <c r="EJ44" s="530"/>
      <c r="EK44" s="530"/>
      <c r="EL44" s="530"/>
      <c r="EM44" s="530"/>
      <c r="EN44" s="530"/>
      <c r="EO44" s="530"/>
      <c r="EP44" s="530"/>
      <c r="EQ44" s="530"/>
      <c r="ER44" s="530"/>
      <c r="ES44" s="530"/>
      <c r="ET44" s="530"/>
      <c r="EU44" s="530"/>
      <c r="EV44" s="530"/>
      <c r="EW44" s="530"/>
      <c r="EX44" s="530"/>
      <c r="EY44" s="530"/>
      <c r="EZ44" s="530"/>
      <c r="FA44" s="530"/>
      <c r="FB44" s="530"/>
      <c r="FC44" s="530"/>
      <c r="FD44" s="530"/>
      <c r="FE44" s="530"/>
      <c r="FF44" s="530"/>
      <c r="FG44" s="530"/>
      <c r="FH44" s="530"/>
      <c r="FI44" s="530"/>
      <c r="FJ44" s="530"/>
      <c r="FK44" s="530"/>
      <c r="FL44" s="530"/>
      <c r="FM44" s="530"/>
      <c r="FN44" s="530"/>
      <c r="FO44" s="530"/>
      <c r="FP44" s="530"/>
      <c r="FQ44" s="530"/>
      <c r="FR44" s="530"/>
      <c r="FS44" s="530"/>
      <c r="FT44" s="530"/>
      <c r="FU44" s="530"/>
      <c r="FV44" s="530"/>
      <c r="FW44" s="530"/>
      <c r="FX44" s="530"/>
      <c r="FY44" s="530"/>
      <c r="FZ44" s="530"/>
      <c r="GA44" s="530"/>
      <c r="GB44" s="530"/>
      <c r="GC44" s="530"/>
      <c r="GD44" s="530"/>
      <c r="GE44" s="530"/>
      <c r="GF44" s="530"/>
      <c r="GG44" s="530"/>
      <c r="GH44" s="530"/>
      <c r="GI44" s="530"/>
      <c r="GJ44" s="530"/>
      <c r="GK44" s="530"/>
      <c r="GL44" s="530"/>
      <c r="GM44" s="530"/>
      <c r="GN44" s="530"/>
      <c r="GO44" s="530"/>
      <c r="GP44" s="530"/>
      <c r="GQ44" s="530"/>
      <c r="GR44" s="530"/>
      <c r="GS44" s="530"/>
      <c r="GT44" s="530"/>
      <c r="GU44" s="530"/>
      <c r="GV44" s="530"/>
      <c r="GW44" s="530"/>
      <c r="GX44" s="530"/>
      <c r="GY44" s="530"/>
      <c r="GZ44" s="530"/>
      <c r="HA44" s="530"/>
      <c r="HB44" s="530"/>
      <c r="HC44" s="530"/>
      <c r="HD44" s="530"/>
      <c r="HE44" s="530"/>
      <c r="HF44" s="530"/>
      <c r="HG44" s="530"/>
      <c r="HH44" s="530"/>
      <c r="HI44" s="530"/>
      <c r="HJ44" s="530"/>
      <c r="HK44" s="530"/>
      <c r="HL44" s="530"/>
      <c r="HM44" s="530"/>
      <c r="HN44" s="530"/>
      <c r="HO44" s="530"/>
      <c r="HP44" s="530"/>
      <c r="HQ44" s="530"/>
      <c r="HR44" s="530"/>
      <c r="HS44" s="530"/>
      <c r="HT44" s="530"/>
      <c r="HU44" s="530"/>
      <c r="HV44" s="530"/>
      <c r="HW44" s="530"/>
      <c r="HX44" s="530"/>
      <c r="HY44" s="530"/>
      <c r="HZ44" s="530"/>
      <c r="IA44" s="530"/>
      <c r="IB44" s="530"/>
      <c r="IC44" s="530"/>
      <c r="ID44" s="530"/>
      <c r="IE44" s="530"/>
      <c r="IF44" s="530"/>
      <c r="IG44" s="530"/>
      <c r="IH44" s="530"/>
      <c r="II44" s="530"/>
      <c r="IJ44" s="530"/>
      <c r="IK44" s="530"/>
      <c r="IL44" s="530"/>
      <c r="IM44" s="530"/>
      <c r="IN44" s="530"/>
      <c r="IO44" s="530"/>
      <c r="IP44" s="530"/>
      <c r="IQ44" s="530"/>
      <c r="IR44" s="530"/>
      <c r="IS44" s="530"/>
      <c r="IT44" s="530"/>
    </row>
    <row r="45" spans="1:254" ht="11.1" customHeight="1" x14ac:dyDescent="0.2">
      <c r="A45" s="547" t="s">
        <v>1983</v>
      </c>
      <c r="B45" s="548">
        <f t="shared" si="0"/>
        <v>23580</v>
      </c>
      <c r="C45" s="549"/>
      <c r="D45" s="550"/>
      <c r="E45" s="548">
        <v>1965</v>
      </c>
      <c r="F45" s="551"/>
      <c r="G45" s="551"/>
      <c r="H45" s="547">
        <f t="shared" si="1"/>
        <v>0</v>
      </c>
      <c r="I45" s="547" t="s">
        <v>1983</v>
      </c>
      <c r="J45" s="548">
        <f t="shared" si="2"/>
        <v>23580</v>
      </c>
      <c r="K45" s="549"/>
      <c r="L45" s="550"/>
      <c r="M45" s="548">
        <v>1965</v>
      </c>
      <c r="N45" s="551"/>
      <c r="O45" s="551"/>
      <c r="P45" s="545"/>
      <c r="Q45" s="546"/>
      <c r="R45" s="546"/>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0"/>
      <c r="AP45" s="530"/>
      <c r="AQ45" s="530"/>
      <c r="AR45" s="530"/>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c r="DH45" s="530"/>
      <c r="DI45" s="530"/>
      <c r="DJ45" s="530"/>
      <c r="DK45" s="530"/>
      <c r="DL45" s="530"/>
      <c r="DM45" s="530"/>
      <c r="DN45" s="530"/>
      <c r="DO45" s="530"/>
      <c r="DP45" s="530"/>
      <c r="DQ45" s="530"/>
      <c r="DR45" s="530"/>
      <c r="DS45" s="530"/>
      <c r="DT45" s="530"/>
      <c r="DU45" s="530"/>
      <c r="DV45" s="530"/>
      <c r="DW45" s="530"/>
      <c r="DX45" s="530"/>
      <c r="DY45" s="530"/>
      <c r="DZ45" s="530"/>
      <c r="EA45" s="530"/>
      <c r="EB45" s="530"/>
      <c r="EC45" s="530"/>
      <c r="ED45" s="530"/>
      <c r="EE45" s="530"/>
      <c r="EF45" s="530"/>
      <c r="EG45" s="530"/>
      <c r="EH45" s="530"/>
      <c r="EI45" s="530"/>
      <c r="EJ45" s="530"/>
      <c r="EK45" s="530"/>
      <c r="EL45" s="530"/>
      <c r="EM45" s="530"/>
      <c r="EN45" s="530"/>
      <c r="EO45" s="530"/>
      <c r="EP45" s="530"/>
      <c r="EQ45" s="530"/>
      <c r="ER45" s="530"/>
      <c r="ES45" s="530"/>
      <c r="ET45" s="530"/>
      <c r="EU45" s="530"/>
      <c r="EV45" s="530"/>
      <c r="EW45" s="530"/>
      <c r="EX45" s="530"/>
      <c r="EY45" s="530"/>
      <c r="EZ45" s="530"/>
      <c r="FA45" s="530"/>
      <c r="FB45" s="530"/>
      <c r="FC45" s="530"/>
      <c r="FD45" s="530"/>
      <c r="FE45" s="530"/>
      <c r="FF45" s="530"/>
      <c r="FG45" s="530"/>
      <c r="FH45" s="530"/>
      <c r="FI45" s="530"/>
      <c r="FJ45" s="530"/>
      <c r="FK45" s="530"/>
      <c r="FL45" s="530"/>
      <c r="FM45" s="530"/>
      <c r="FN45" s="530"/>
      <c r="FO45" s="530"/>
      <c r="FP45" s="530"/>
      <c r="FQ45" s="530"/>
      <c r="FR45" s="530"/>
      <c r="FS45" s="530"/>
      <c r="FT45" s="530"/>
      <c r="FU45" s="530"/>
      <c r="FV45" s="530"/>
      <c r="FW45" s="530"/>
      <c r="FX45" s="530"/>
      <c r="FY45" s="530"/>
      <c r="FZ45" s="530"/>
      <c r="GA45" s="530"/>
      <c r="GB45" s="530"/>
      <c r="GC45" s="530"/>
      <c r="GD45" s="530"/>
      <c r="GE45" s="530"/>
      <c r="GF45" s="530"/>
      <c r="GG45" s="530"/>
      <c r="GH45" s="530"/>
      <c r="GI45" s="530"/>
      <c r="GJ45" s="530"/>
      <c r="GK45" s="530"/>
      <c r="GL45" s="530"/>
      <c r="GM45" s="530"/>
      <c r="GN45" s="530"/>
      <c r="GO45" s="530"/>
      <c r="GP45" s="530"/>
      <c r="GQ45" s="530"/>
      <c r="GR45" s="530"/>
      <c r="GS45" s="530"/>
      <c r="GT45" s="530"/>
      <c r="GU45" s="530"/>
      <c r="GV45" s="530"/>
      <c r="GW45" s="530"/>
      <c r="GX45" s="530"/>
      <c r="GY45" s="530"/>
      <c r="GZ45" s="530"/>
      <c r="HA45" s="530"/>
      <c r="HB45" s="530"/>
      <c r="HC45" s="530"/>
      <c r="HD45" s="530"/>
      <c r="HE45" s="530"/>
      <c r="HF45" s="530"/>
      <c r="HG45" s="530"/>
      <c r="HH45" s="530"/>
      <c r="HI45" s="530"/>
      <c r="HJ45" s="530"/>
      <c r="HK45" s="530"/>
      <c r="HL45" s="530"/>
      <c r="HM45" s="530"/>
      <c r="HN45" s="530"/>
      <c r="HO45" s="530"/>
      <c r="HP45" s="530"/>
      <c r="HQ45" s="530"/>
      <c r="HR45" s="530"/>
      <c r="HS45" s="530"/>
      <c r="HT45" s="530"/>
      <c r="HU45" s="530"/>
      <c r="HV45" s="530"/>
      <c r="HW45" s="530"/>
      <c r="HX45" s="530"/>
      <c r="HY45" s="530"/>
      <c r="HZ45" s="530"/>
      <c r="IA45" s="530"/>
      <c r="IB45" s="530"/>
      <c r="IC45" s="530"/>
      <c r="ID45" s="530"/>
      <c r="IE45" s="530"/>
      <c r="IF45" s="530"/>
      <c r="IG45" s="530"/>
      <c r="IH45" s="530"/>
      <c r="II45" s="530"/>
      <c r="IJ45" s="530"/>
      <c r="IK45" s="530"/>
      <c r="IL45" s="530"/>
      <c r="IM45" s="530"/>
      <c r="IN45" s="530"/>
      <c r="IO45" s="530"/>
      <c r="IP45" s="530"/>
      <c r="IQ45" s="530"/>
      <c r="IR45" s="530"/>
      <c r="IS45" s="530"/>
      <c r="IT45" s="530"/>
    </row>
    <row r="46" spans="1:254" ht="11.1" customHeight="1" x14ac:dyDescent="0.2">
      <c r="A46" s="552" t="s">
        <v>1984</v>
      </c>
      <c r="B46" s="553">
        <f t="shared" si="0"/>
        <v>22872</v>
      </c>
      <c r="C46" s="554"/>
      <c r="D46" s="555"/>
      <c r="E46" s="553">
        <v>1906</v>
      </c>
      <c r="F46" s="556"/>
      <c r="G46" s="556"/>
      <c r="H46" s="552">
        <f t="shared" si="1"/>
        <v>0</v>
      </c>
      <c r="I46" s="552" t="s">
        <v>1984</v>
      </c>
      <c r="J46" s="553">
        <f t="shared" si="2"/>
        <v>22872</v>
      </c>
      <c r="K46" s="554"/>
      <c r="L46" s="555"/>
      <c r="M46" s="553">
        <v>1906</v>
      </c>
      <c r="N46" s="556"/>
      <c r="O46" s="556"/>
      <c r="P46" s="545"/>
      <c r="Q46" s="546"/>
      <c r="R46" s="546"/>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30"/>
      <c r="DF46" s="530"/>
      <c r="DG46" s="530"/>
      <c r="DH46" s="530"/>
      <c r="DI46" s="530"/>
      <c r="DJ46" s="530"/>
      <c r="DK46" s="530"/>
      <c r="DL46" s="530"/>
      <c r="DM46" s="530"/>
      <c r="DN46" s="530"/>
      <c r="DO46" s="530"/>
      <c r="DP46" s="530"/>
      <c r="DQ46" s="530"/>
      <c r="DR46" s="530"/>
      <c r="DS46" s="530"/>
      <c r="DT46" s="530"/>
      <c r="DU46" s="530"/>
      <c r="DV46" s="530"/>
      <c r="DW46" s="530"/>
      <c r="DX46" s="530"/>
      <c r="DY46" s="530"/>
      <c r="DZ46" s="530"/>
      <c r="EA46" s="530"/>
      <c r="EB46" s="530"/>
      <c r="EC46" s="530"/>
      <c r="ED46" s="530"/>
      <c r="EE46" s="530"/>
      <c r="EF46" s="530"/>
      <c r="EG46" s="530"/>
      <c r="EH46" s="530"/>
      <c r="EI46" s="530"/>
      <c r="EJ46" s="530"/>
      <c r="EK46" s="530"/>
      <c r="EL46" s="530"/>
      <c r="EM46" s="530"/>
      <c r="EN46" s="530"/>
      <c r="EO46" s="530"/>
      <c r="EP46" s="530"/>
      <c r="EQ46" s="530"/>
      <c r="ER46" s="530"/>
      <c r="ES46" s="530"/>
      <c r="ET46" s="530"/>
      <c r="EU46" s="530"/>
      <c r="EV46" s="530"/>
      <c r="EW46" s="530"/>
      <c r="EX46" s="530"/>
      <c r="EY46" s="530"/>
      <c r="EZ46" s="530"/>
      <c r="FA46" s="530"/>
      <c r="FB46" s="530"/>
      <c r="FC46" s="530"/>
      <c r="FD46" s="530"/>
      <c r="FE46" s="530"/>
      <c r="FF46" s="530"/>
      <c r="FG46" s="530"/>
      <c r="FH46" s="530"/>
      <c r="FI46" s="530"/>
      <c r="FJ46" s="530"/>
      <c r="FK46" s="530"/>
      <c r="FL46" s="530"/>
      <c r="FM46" s="530"/>
      <c r="FN46" s="530"/>
      <c r="FO46" s="530"/>
      <c r="FP46" s="530"/>
      <c r="FQ46" s="530"/>
      <c r="FR46" s="530"/>
      <c r="FS46" s="530"/>
      <c r="FT46" s="530"/>
      <c r="FU46" s="530"/>
      <c r="FV46" s="530"/>
      <c r="FW46" s="530"/>
      <c r="FX46" s="530"/>
      <c r="FY46" s="530"/>
      <c r="FZ46" s="530"/>
      <c r="GA46" s="530"/>
      <c r="GB46" s="530"/>
      <c r="GC46" s="530"/>
      <c r="GD46" s="530"/>
      <c r="GE46" s="530"/>
      <c r="GF46" s="530"/>
      <c r="GG46" s="530"/>
      <c r="GH46" s="530"/>
      <c r="GI46" s="530"/>
      <c r="GJ46" s="530"/>
      <c r="GK46" s="530"/>
      <c r="GL46" s="530"/>
      <c r="GM46" s="530"/>
      <c r="GN46" s="530"/>
      <c r="GO46" s="530"/>
      <c r="GP46" s="530"/>
      <c r="GQ46" s="530"/>
      <c r="GR46" s="530"/>
      <c r="GS46" s="530"/>
      <c r="GT46" s="530"/>
      <c r="GU46" s="530"/>
      <c r="GV46" s="530"/>
      <c r="GW46" s="530"/>
      <c r="GX46" s="530"/>
      <c r="GY46" s="530"/>
      <c r="GZ46" s="530"/>
      <c r="HA46" s="530"/>
      <c r="HB46" s="530"/>
      <c r="HC46" s="530"/>
      <c r="HD46" s="530"/>
      <c r="HE46" s="530"/>
      <c r="HF46" s="530"/>
      <c r="HG46" s="530"/>
      <c r="HH46" s="530"/>
      <c r="HI46" s="530"/>
      <c r="HJ46" s="530"/>
      <c r="HK46" s="530"/>
      <c r="HL46" s="530"/>
      <c r="HM46" s="530"/>
      <c r="HN46" s="530"/>
      <c r="HO46" s="530"/>
      <c r="HP46" s="530"/>
      <c r="HQ46" s="530"/>
      <c r="HR46" s="530"/>
      <c r="HS46" s="530"/>
      <c r="HT46" s="530"/>
      <c r="HU46" s="530"/>
      <c r="HV46" s="530"/>
      <c r="HW46" s="530"/>
      <c r="HX46" s="530"/>
      <c r="HY46" s="530"/>
      <c r="HZ46" s="530"/>
      <c r="IA46" s="530"/>
      <c r="IB46" s="530"/>
      <c r="IC46" s="530"/>
      <c r="ID46" s="530"/>
      <c r="IE46" s="530"/>
      <c r="IF46" s="530"/>
      <c r="IG46" s="530"/>
      <c r="IH46" s="530"/>
      <c r="II46" s="530"/>
      <c r="IJ46" s="530"/>
      <c r="IK46" s="530"/>
      <c r="IL46" s="530"/>
      <c r="IM46" s="530"/>
      <c r="IN46" s="530"/>
      <c r="IO46" s="530"/>
      <c r="IP46" s="530"/>
      <c r="IQ46" s="530"/>
      <c r="IR46" s="530"/>
      <c r="IS46" s="530"/>
      <c r="IT46" s="530"/>
    </row>
    <row r="47" spans="1:254" ht="11.1" customHeight="1" x14ac:dyDescent="0.2">
      <c r="A47" s="547" t="s">
        <v>1985</v>
      </c>
      <c r="B47" s="548">
        <f t="shared" si="0"/>
        <v>22164</v>
      </c>
      <c r="C47" s="549"/>
      <c r="D47" s="550"/>
      <c r="E47" s="548">
        <v>1847</v>
      </c>
      <c r="F47" s="551"/>
      <c r="G47" s="551"/>
      <c r="H47" s="547">
        <f t="shared" si="1"/>
        <v>0</v>
      </c>
      <c r="I47" s="547" t="s">
        <v>1985</v>
      </c>
      <c r="J47" s="548">
        <f t="shared" si="2"/>
        <v>22164</v>
      </c>
      <c r="K47" s="549"/>
      <c r="L47" s="550"/>
      <c r="M47" s="548">
        <v>1847</v>
      </c>
      <c r="N47" s="551"/>
      <c r="O47" s="551"/>
      <c r="P47" s="545"/>
      <c r="Q47" s="546"/>
      <c r="R47" s="546"/>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30"/>
      <c r="DF47" s="530"/>
      <c r="DG47" s="530"/>
      <c r="DH47" s="530"/>
      <c r="DI47" s="530"/>
      <c r="DJ47" s="530"/>
      <c r="DK47" s="530"/>
      <c r="DL47" s="530"/>
      <c r="DM47" s="530"/>
      <c r="DN47" s="530"/>
      <c r="DO47" s="530"/>
      <c r="DP47" s="530"/>
      <c r="DQ47" s="530"/>
      <c r="DR47" s="530"/>
      <c r="DS47" s="530"/>
      <c r="DT47" s="530"/>
      <c r="DU47" s="530"/>
      <c r="DV47" s="530"/>
      <c r="DW47" s="530"/>
      <c r="DX47" s="530"/>
      <c r="DY47" s="530"/>
      <c r="DZ47" s="530"/>
      <c r="EA47" s="530"/>
      <c r="EB47" s="530"/>
      <c r="EC47" s="530"/>
      <c r="ED47" s="530"/>
      <c r="EE47" s="530"/>
      <c r="EF47" s="530"/>
      <c r="EG47" s="530"/>
      <c r="EH47" s="530"/>
      <c r="EI47" s="530"/>
      <c r="EJ47" s="530"/>
      <c r="EK47" s="530"/>
      <c r="EL47" s="530"/>
      <c r="EM47" s="530"/>
      <c r="EN47" s="530"/>
      <c r="EO47" s="530"/>
      <c r="EP47" s="530"/>
      <c r="EQ47" s="530"/>
      <c r="ER47" s="530"/>
      <c r="ES47" s="530"/>
      <c r="ET47" s="530"/>
      <c r="EU47" s="530"/>
      <c r="EV47" s="530"/>
      <c r="EW47" s="530"/>
      <c r="EX47" s="530"/>
      <c r="EY47" s="530"/>
      <c r="EZ47" s="530"/>
      <c r="FA47" s="530"/>
      <c r="FB47" s="530"/>
      <c r="FC47" s="530"/>
      <c r="FD47" s="530"/>
      <c r="FE47" s="530"/>
      <c r="FF47" s="530"/>
      <c r="FG47" s="530"/>
      <c r="FH47" s="530"/>
      <c r="FI47" s="530"/>
      <c r="FJ47" s="530"/>
      <c r="FK47" s="530"/>
      <c r="FL47" s="530"/>
      <c r="FM47" s="530"/>
      <c r="FN47" s="530"/>
      <c r="FO47" s="530"/>
      <c r="FP47" s="530"/>
      <c r="FQ47" s="530"/>
      <c r="FR47" s="530"/>
      <c r="FS47" s="530"/>
      <c r="FT47" s="530"/>
      <c r="FU47" s="530"/>
      <c r="FV47" s="530"/>
      <c r="FW47" s="530"/>
      <c r="FX47" s="530"/>
      <c r="FY47" s="530"/>
      <c r="FZ47" s="530"/>
      <c r="GA47" s="530"/>
      <c r="GB47" s="530"/>
      <c r="GC47" s="530"/>
      <c r="GD47" s="530"/>
      <c r="GE47" s="530"/>
      <c r="GF47" s="530"/>
      <c r="GG47" s="530"/>
      <c r="GH47" s="530"/>
      <c r="GI47" s="530"/>
      <c r="GJ47" s="530"/>
      <c r="GK47" s="530"/>
      <c r="GL47" s="530"/>
      <c r="GM47" s="530"/>
      <c r="GN47" s="530"/>
      <c r="GO47" s="530"/>
      <c r="GP47" s="530"/>
      <c r="GQ47" s="530"/>
      <c r="GR47" s="530"/>
      <c r="GS47" s="530"/>
      <c r="GT47" s="530"/>
      <c r="GU47" s="530"/>
      <c r="GV47" s="530"/>
      <c r="GW47" s="530"/>
      <c r="GX47" s="530"/>
      <c r="GY47" s="530"/>
      <c r="GZ47" s="530"/>
      <c r="HA47" s="530"/>
      <c r="HB47" s="530"/>
      <c r="HC47" s="530"/>
      <c r="HD47" s="530"/>
      <c r="HE47" s="530"/>
      <c r="HF47" s="530"/>
      <c r="HG47" s="530"/>
      <c r="HH47" s="530"/>
      <c r="HI47" s="530"/>
      <c r="HJ47" s="530"/>
      <c r="HK47" s="530"/>
      <c r="HL47" s="530"/>
      <c r="HM47" s="530"/>
      <c r="HN47" s="530"/>
      <c r="HO47" s="530"/>
      <c r="HP47" s="530"/>
      <c r="HQ47" s="530"/>
      <c r="HR47" s="530"/>
      <c r="HS47" s="530"/>
      <c r="HT47" s="530"/>
      <c r="HU47" s="530"/>
      <c r="HV47" s="530"/>
      <c r="HW47" s="530"/>
      <c r="HX47" s="530"/>
      <c r="HY47" s="530"/>
      <c r="HZ47" s="530"/>
      <c r="IA47" s="530"/>
      <c r="IB47" s="530"/>
      <c r="IC47" s="530"/>
      <c r="ID47" s="530"/>
      <c r="IE47" s="530"/>
      <c r="IF47" s="530"/>
      <c r="IG47" s="530"/>
      <c r="IH47" s="530"/>
      <c r="II47" s="530"/>
      <c r="IJ47" s="530"/>
      <c r="IK47" s="530"/>
      <c r="IL47" s="530"/>
      <c r="IM47" s="530"/>
      <c r="IN47" s="530"/>
      <c r="IO47" s="530"/>
      <c r="IP47" s="530"/>
      <c r="IQ47" s="530"/>
      <c r="IR47" s="530"/>
      <c r="IS47" s="530"/>
      <c r="IT47" s="530"/>
    </row>
    <row r="48" spans="1:254" ht="11.1" customHeight="1" x14ac:dyDescent="0.2">
      <c r="A48" s="552" t="s">
        <v>1986</v>
      </c>
      <c r="B48" s="553">
        <f t="shared" si="0"/>
        <v>21456</v>
      </c>
      <c r="C48" s="554"/>
      <c r="D48" s="555"/>
      <c r="E48" s="553">
        <v>1788</v>
      </c>
      <c r="F48" s="556"/>
      <c r="G48" s="556"/>
      <c r="H48" s="552">
        <f t="shared" si="1"/>
        <v>0</v>
      </c>
      <c r="I48" s="552" t="s">
        <v>1986</v>
      </c>
      <c r="J48" s="553">
        <f t="shared" si="2"/>
        <v>21456</v>
      </c>
      <c r="K48" s="554"/>
      <c r="L48" s="555"/>
      <c r="M48" s="553">
        <v>1788</v>
      </c>
      <c r="N48" s="556"/>
      <c r="O48" s="556"/>
      <c r="P48" s="545"/>
      <c r="Q48" s="546"/>
      <c r="R48" s="546"/>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30"/>
      <c r="DF48" s="530"/>
      <c r="DG48" s="530"/>
      <c r="DH48" s="530"/>
      <c r="DI48" s="530"/>
      <c r="DJ48" s="530"/>
      <c r="DK48" s="530"/>
      <c r="DL48" s="530"/>
      <c r="DM48" s="530"/>
      <c r="DN48" s="530"/>
      <c r="DO48" s="530"/>
      <c r="DP48" s="530"/>
      <c r="DQ48" s="530"/>
      <c r="DR48" s="530"/>
      <c r="DS48" s="530"/>
      <c r="DT48" s="530"/>
      <c r="DU48" s="530"/>
      <c r="DV48" s="530"/>
      <c r="DW48" s="530"/>
      <c r="DX48" s="530"/>
      <c r="DY48" s="530"/>
      <c r="DZ48" s="530"/>
      <c r="EA48" s="530"/>
      <c r="EB48" s="530"/>
      <c r="EC48" s="530"/>
      <c r="ED48" s="530"/>
      <c r="EE48" s="530"/>
      <c r="EF48" s="530"/>
      <c r="EG48" s="530"/>
      <c r="EH48" s="530"/>
      <c r="EI48" s="530"/>
      <c r="EJ48" s="530"/>
      <c r="EK48" s="530"/>
      <c r="EL48" s="530"/>
      <c r="EM48" s="530"/>
      <c r="EN48" s="530"/>
      <c r="EO48" s="530"/>
      <c r="EP48" s="530"/>
      <c r="EQ48" s="530"/>
      <c r="ER48" s="530"/>
      <c r="ES48" s="530"/>
      <c r="ET48" s="530"/>
      <c r="EU48" s="530"/>
      <c r="EV48" s="530"/>
      <c r="EW48" s="530"/>
      <c r="EX48" s="530"/>
      <c r="EY48" s="530"/>
      <c r="EZ48" s="530"/>
      <c r="FA48" s="530"/>
      <c r="FB48" s="530"/>
      <c r="FC48" s="530"/>
      <c r="FD48" s="530"/>
      <c r="FE48" s="530"/>
      <c r="FF48" s="530"/>
      <c r="FG48" s="530"/>
      <c r="FH48" s="530"/>
      <c r="FI48" s="530"/>
      <c r="FJ48" s="530"/>
      <c r="FK48" s="530"/>
      <c r="FL48" s="530"/>
      <c r="FM48" s="530"/>
      <c r="FN48" s="530"/>
      <c r="FO48" s="530"/>
      <c r="FP48" s="530"/>
      <c r="FQ48" s="530"/>
      <c r="FR48" s="530"/>
      <c r="FS48" s="530"/>
      <c r="FT48" s="530"/>
      <c r="FU48" s="530"/>
      <c r="FV48" s="530"/>
      <c r="FW48" s="530"/>
      <c r="FX48" s="530"/>
      <c r="FY48" s="530"/>
      <c r="FZ48" s="530"/>
      <c r="GA48" s="530"/>
      <c r="GB48" s="530"/>
      <c r="GC48" s="530"/>
      <c r="GD48" s="530"/>
      <c r="GE48" s="530"/>
      <c r="GF48" s="530"/>
      <c r="GG48" s="530"/>
      <c r="GH48" s="530"/>
      <c r="GI48" s="530"/>
      <c r="GJ48" s="530"/>
      <c r="GK48" s="530"/>
      <c r="GL48" s="530"/>
      <c r="GM48" s="530"/>
      <c r="GN48" s="530"/>
      <c r="GO48" s="530"/>
      <c r="GP48" s="530"/>
      <c r="GQ48" s="530"/>
      <c r="GR48" s="530"/>
      <c r="GS48" s="530"/>
      <c r="GT48" s="530"/>
      <c r="GU48" s="530"/>
      <c r="GV48" s="530"/>
      <c r="GW48" s="530"/>
      <c r="GX48" s="530"/>
      <c r="GY48" s="530"/>
      <c r="GZ48" s="530"/>
      <c r="HA48" s="530"/>
      <c r="HB48" s="530"/>
      <c r="HC48" s="530"/>
      <c r="HD48" s="530"/>
      <c r="HE48" s="530"/>
      <c r="HF48" s="530"/>
      <c r="HG48" s="530"/>
      <c r="HH48" s="530"/>
      <c r="HI48" s="530"/>
      <c r="HJ48" s="530"/>
      <c r="HK48" s="530"/>
      <c r="HL48" s="530"/>
      <c r="HM48" s="530"/>
      <c r="HN48" s="530"/>
      <c r="HO48" s="530"/>
      <c r="HP48" s="530"/>
      <c r="HQ48" s="530"/>
      <c r="HR48" s="530"/>
      <c r="HS48" s="530"/>
      <c r="HT48" s="530"/>
      <c r="HU48" s="530"/>
      <c r="HV48" s="530"/>
      <c r="HW48" s="530"/>
      <c r="HX48" s="530"/>
      <c r="HY48" s="530"/>
      <c r="HZ48" s="530"/>
      <c r="IA48" s="530"/>
      <c r="IB48" s="530"/>
      <c r="IC48" s="530"/>
      <c r="ID48" s="530"/>
      <c r="IE48" s="530"/>
      <c r="IF48" s="530"/>
      <c r="IG48" s="530"/>
      <c r="IH48" s="530"/>
      <c r="II48" s="530"/>
      <c r="IJ48" s="530"/>
      <c r="IK48" s="530"/>
      <c r="IL48" s="530"/>
      <c r="IM48" s="530"/>
      <c r="IN48" s="530"/>
      <c r="IO48" s="530"/>
      <c r="IP48" s="530"/>
      <c r="IQ48" s="530"/>
      <c r="IR48" s="530"/>
      <c r="IS48" s="530"/>
      <c r="IT48" s="530"/>
    </row>
    <row r="49" spans="1:254" ht="10.5" customHeight="1" x14ac:dyDescent="0.2">
      <c r="A49" s="547" t="s">
        <v>1987</v>
      </c>
      <c r="B49" s="548">
        <f t="shared" si="0"/>
        <v>20748</v>
      </c>
      <c r="C49" s="549" t="s">
        <v>1948</v>
      </c>
      <c r="D49" s="550">
        <f>G49*12</f>
        <v>708</v>
      </c>
      <c r="E49" s="548">
        <v>1729</v>
      </c>
      <c r="F49" s="551" t="s">
        <v>1948</v>
      </c>
      <c r="G49" s="551">
        <v>59</v>
      </c>
      <c r="H49" s="547">
        <f t="shared" si="1"/>
        <v>0</v>
      </c>
      <c r="I49" s="547" t="s">
        <v>1987</v>
      </c>
      <c r="J49" s="548">
        <f t="shared" si="2"/>
        <v>20748</v>
      </c>
      <c r="K49" s="549" t="s">
        <v>1948</v>
      </c>
      <c r="L49" s="550">
        <f>O49*12</f>
        <v>708</v>
      </c>
      <c r="M49" s="548">
        <v>1729</v>
      </c>
      <c r="N49" s="551" t="s">
        <v>1948</v>
      </c>
      <c r="O49" s="551">
        <v>59</v>
      </c>
      <c r="P49" s="545"/>
      <c r="Q49" s="546"/>
      <c r="R49" s="546"/>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c r="AP49" s="530"/>
      <c r="AQ49" s="530"/>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0"/>
      <c r="CE49" s="530"/>
      <c r="CF49" s="530"/>
      <c r="CG49" s="530"/>
      <c r="CH49" s="530"/>
      <c r="CI49" s="530"/>
      <c r="CJ49" s="530"/>
      <c r="CK49" s="530"/>
      <c r="CL49" s="530"/>
      <c r="CM49" s="530"/>
      <c r="CN49" s="530"/>
      <c r="CO49" s="530"/>
      <c r="CP49" s="530"/>
      <c r="CQ49" s="530"/>
      <c r="CR49" s="530"/>
      <c r="CS49" s="530"/>
      <c r="CT49" s="530"/>
      <c r="CU49" s="530"/>
      <c r="CV49" s="530"/>
      <c r="CW49" s="530"/>
      <c r="CX49" s="530"/>
      <c r="CY49" s="530"/>
      <c r="CZ49" s="530"/>
      <c r="DA49" s="530"/>
      <c r="DB49" s="530"/>
      <c r="DC49" s="530"/>
      <c r="DD49" s="530"/>
      <c r="DE49" s="530"/>
      <c r="DF49" s="530"/>
      <c r="DG49" s="530"/>
      <c r="DH49" s="530"/>
      <c r="DI49" s="530"/>
      <c r="DJ49" s="530"/>
      <c r="DK49" s="530"/>
      <c r="DL49" s="530"/>
      <c r="DM49" s="530"/>
      <c r="DN49" s="530"/>
      <c r="DO49" s="530"/>
      <c r="DP49" s="530"/>
      <c r="DQ49" s="530"/>
      <c r="DR49" s="530"/>
      <c r="DS49" s="530"/>
      <c r="DT49" s="530"/>
      <c r="DU49" s="530"/>
      <c r="DV49" s="530"/>
      <c r="DW49" s="530"/>
      <c r="DX49" s="530"/>
      <c r="DY49" s="530"/>
      <c r="DZ49" s="530"/>
      <c r="EA49" s="530"/>
      <c r="EB49" s="530"/>
      <c r="EC49" s="530"/>
      <c r="ED49" s="530"/>
      <c r="EE49" s="530"/>
      <c r="EF49" s="530"/>
      <c r="EG49" s="530"/>
      <c r="EH49" s="530"/>
      <c r="EI49" s="530"/>
      <c r="EJ49" s="530"/>
      <c r="EK49" s="530"/>
      <c r="EL49" s="530"/>
      <c r="EM49" s="530"/>
      <c r="EN49" s="530"/>
      <c r="EO49" s="530"/>
      <c r="EP49" s="530"/>
      <c r="EQ49" s="530"/>
      <c r="ER49" s="530"/>
      <c r="ES49" s="530"/>
      <c r="ET49" s="530"/>
      <c r="EU49" s="530"/>
      <c r="EV49" s="530"/>
      <c r="EW49" s="530"/>
      <c r="EX49" s="530"/>
      <c r="EY49" s="530"/>
      <c r="EZ49" s="530"/>
      <c r="FA49" s="530"/>
      <c r="FB49" s="530"/>
      <c r="FC49" s="530"/>
      <c r="FD49" s="530"/>
      <c r="FE49" s="530"/>
      <c r="FF49" s="530"/>
      <c r="FG49" s="530"/>
      <c r="FH49" s="530"/>
      <c r="FI49" s="530"/>
      <c r="FJ49" s="530"/>
      <c r="FK49" s="530"/>
      <c r="FL49" s="530"/>
      <c r="FM49" s="530"/>
      <c r="FN49" s="530"/>
      <c r="FO49" s="530"/>
      <c r="FP49" s="530"/>
      <c r="FQ49" s="530"/>
      <c r="FR49" s="530"/>
      <c r="FS49" s="530"/>
      <c r="FT49" s="530"/>
      <c r="FU49" s="530"/>
      <c r="FV49" s="530"/>
      <c r="FW49" s="530"/>
      <c r="FX49" s="530"/>
      <c r="FY49" s="530"/>
      <c r="FZ49" s="530"/>
      <c r="GA49" s="530"/>
      <c r="GB49" s="530"/>
      <c r="GC49" s="530"/>
      <c r="GD49" s="530"/>
      <c r="GE49" s="530"/>
      <c r="GF49" s="530"/>
      <c r="GG49" s="530"/>
      <c r="GH49" s="530"/>
      <c r="GI49" s="530"/>
      <c r="GJ49" s="530"/>
      <c r="GK49" s="530"/>
      <c r="GL49" s="530"/>
      <c r="GM49" s="530"/>
      <c r="GN49" s="530"/>
      <c r="GO49" s="530"/>
      <c r="GP49" s="530"/>
      <c r="GQ49" s="530"/>
      <c r="GR49" s="530"/>
      <c r="GS49" s="530"/>
      <c r="GT49" s="530"/>
      <c r="GU49" s="530"/>
      <c r="GV49" s="530"/>
      <c r="GW49" s="530"/>
      <c r="GX49" s="530"/>
      <c r="GY49" s="530"/>
      <c r="GZ49" s="530"/>
      <c r="HA49" s="530"/>
      <c r="HB49" s="530"/>
      <c r="HC49" s="530"/>
      <c r="HD49" s="530"/>
      <c r="HE49" s="530"/>
      <c r="HF49" s="530"/>
      <c r="HG49" s="530"/>
      <c r="HH49" s="530"/>
      <c r="HI49" s="530"/>
      <c r="HJ49" s="530"/>
      <c r="HK49" s="530"/>
      <c r="HL49" s="530"/>
      <c r="HM49" s="530"/>
      <c r="HN49" s="530"/>
      <c r="HO49" s="530"/>
      <c r="HP49" s="530"/>
      <c r="HQ49" s="530"/>
      <c r="HR49" s="530"/>
      <c r="HS49" s="530"/>
      <c r="HT49" s="530"/>
      <c r="HU49" s="530"/>
      <c r="HV49" s="530"/>
      <c r="HW49" s="530"/>
      <c r="HX49" s="530"/>
      <c r="HY49" s="530"/>
      <c r="HZ49" s="530"/>
      <c r="IA49" s="530"/>
      <c r="IB49" s="530"/>
      <c r="IC49" s="530"/>
      <c r="ID49" s="530"/>
      <c r="IE49" s="530"/>
      <c r="IF49" s="530"/>
      <c r="IG49" s="530"/>
      <c r="IH49" s="530"/>
      <c r="II49" s="530"/>
      <c r="IJ49" s="530"/>
      <c r="IK49" s="530"/>
      <c r="IL49" s="530"/>
      <c r="IM49" s="530"/>
      <c r="IN49" s="530"/>
      <c r="IO49" s="530"/>
      <c r="IP49" s="530"/>
      <c r="IQ49" s="530"/>
      <c r="IR49" s="530"/>
      <c r="IS49" s="530"/>
      <c r="IT49" s="530"/>
    </row>
    <row r="50" spans="1:254" ht="11.1" customHeight="1" x14ac:dyDescent="0.2">
      <c r="A50" s="552" t="s">
        <v>1988</v>
      </c>
      <c r="B50" s="553">
        <f t="shared" si="0"/>
        <v>20304</v>
      </c>
      <c r="C50" s="554"/>
      <c r="D50" s="555"/>
      <c r="E50" s="553">
        <v>1692</v>
      </c>
      <c r="F50" s="556"/>
      <c r="G50" s="556"/>
      <c r="H50" s="552">
        <f t="shared" si="1"/>
        <v>0</v>
      </c>
      <c r="I50" s="552" t="s">
        <v>1988</v>
      </c>
      <c r="J50" s="553">
        <f t="shared" si="2"/>
        <v>20304</v>
      </c>
      <c r="K50" s="554"/>
      <c r="L50" s="555"/>
      <c r="M50" s="553">
        <v>1692</v>
      </c>
      <c r="N50" s="556"/>
      <c r="O50" s="556"/>
      <c r="P50" s="545"/>
      <c r="Q50" s="546"/>
      <c r="R50" s="546"/>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0"/>
      <c r="AY50" s="530"/>
      <c r="AZ50" s="530"/>
      <c r="BA50" s="530"/>
      <c r="BB50" s="530"/>
      <c r="BC50" s="530"/>
      <c r="BD50" s="530"/>
      <c r="BE50" s="530"/>
      <c r="BF50" s="530"/>
      <c r="BG50" s="530"/>
      <c r="BH50" s="530"/>
      <c r="BI50" s="530"/>
      <c r="BJ50" s="530"/>
      <c r="BK50" s="530"/>
      <c r="BL50" s="530"/>
      <c r="BM50" s="530"/>
      <c r="BN50" s="530"/>
      <c r="BO50" s="530"/>
      <c r="BP50" s="530"/>
      <c r="BQ50" s="530"/>
      <c r="BR50" s="530"/>
      <c r="BS50" s="530"/>
      <c r="BT50" s="530"/>
      <c r="BU50" s="530"/>
      <c r="BV50" s="530"/>
      <c r="BW50" s="530"/>
      <c r="BX50" s="530"/>
      <c r="BY50" s="530"/>
      <c r="BZ50" s="530"/>
      <c r="CA50" s="530"/>
      <c r="CB50" s="530"/>
      <c r="CC50" s="530"/>
      <c r="CD50" s="530"/>
      <c r="CE50" s="530"/>
      <c r="CF50" s="530"/>
      <c r="CG50" s="530"/>
      <c r="CH50" s="530"/>
      <c r="CI50" s="530"/>
      <c r="CJ50" s="530"/>
      <c r="CK50" s="530"/>
      <c r="CL50" s="530"/>
      <c r="CM50" s="530"/>
      <c r="CN50" s="530"/>
      <c r="CO50" s="530"/>
      <c r="CP50" s="530"/>
      <c r="CQ50" s="530"/>
      <c r="CR50" s="530"/>
      <c r="CS50" s="530"/>
      <c r="CT50" s="530"/>
      <c r="CU50" s="530"/>
      <c r="CV50" s="530"/>
      <c r="CW50" s="530"/>
      <c r="CX50" s="530"/>
      <c r="CY50" s="530"/>
      <c r="CZ50" s="530"/>
      <c r="DA50" s="530"/>
      <c r="DB50" s="530"/>
      <c r="DC50" s="530"/>
      <c r="DD50" s="530"/>
      <c r="DE50" s="530"/>
      <c r="DF50" s="530"/>
      <c r="DG50" s="530"/>
      <c r="DH50" s="530"/>
      <c r="DI50" s="530"/>
      <c r="DJ50" s="530"/>
      <c r="DK50" s="530"/>
      <c r="DL50" s="530"/>
      <c r="DM50" s="530"/>
      <c r="DN50" s="530"/>
      <c r="DO50" s="530"/>
      <c r="DP50" s="530"/>
      <c r="DQ50" s="530"/>
      <c r="DR50" s="530"/>
      <c r="DS50" s="530"/>
      <c r="DT50" s="530"/>
      <c r="DU50" s="530"/>
      <c r="DV50" s="530"/>
      <c r="DW50" s="530"/>
      <c r="DX50" s="530"/>
      <c r="DY50" s="530"/>
      <c r="DZ50" s="530"/>
      <c r="EA50" s="530"/>
      <c r="EB50" s="530"/>
      <c r="EC50" s="530"/>
      <c r="ED50" s="530"/>
      <c r="EE50" s="530"/>
      <c r="EF50" s="530"/>
      <c r="EG50" s="530"/>
      <c r="EH50" s="530"/>
      <c r="EI50" s="530"/>
      <c r="EJ50" s="530"/>
      <c r="EK50" s="530"/>
      <c r="EL50" s="530"/>
      <c r="EM50" s="530"/>
      <c r="EN50" s="530"/>
      <c r="EO50" s="530"/>
      <c r="EP50" s="530"/>
      <c r="EQ50" s="530"/>
      <c r="ER50" s="530"/>
      <c r="ES50" s="530"/>
      <c r="ET50" s="530"/>
      <c r="EU50" s="530"/>
      <c r="EV50" s="530"/>
      <c r="EW50" s="530"/>
      <c r="EX50" s="530"/>
      <c r="EY50" s="530"/>
      <c r="EZ50" s="530"/>
      <c r="FA50" s="530"/>
      <c r="FB50" s="530"/>
      <c r="FC50" s="530"/>
      <c r="FD50" s="530"/>
      <c r="FE50" s="530"/>
      <c r="FF50" s="530"/>
      <c r="FG50" s="530"/>
      <c r="FH50" s="530"/>
      <c r="FI50" s="530"/>
      <c r="FJ50" s="530"/>
      <c r="FK50" s="530"/>
      <c r="FL50" s="530"/>
      <c r="FM50" s="530"/>
      <c r="FN50" s="530"/>
      <c r="FO50" s="530"/>
      <c r="FP50" s="530"/>
      <c r="FQ50" s="530"/>
      <c r="FR50" s="530"/>
      <c r="FS50" s="530"/>
      <c r="FT50" s="530"/>
      <c r="FU50" s="530"/>
      <c r="FV50" s="530"/>
      <c r="FW50" s="530"/>
      <c r="FX50" s="530"/>
      <c r="FY50" s="530"/>
      <c r="FZ50" s="530"/>
      <c r="GA50" s="530"/>
      <c r="GB50" s="530"/>
      <c r="GC50" s="530"/>
      <c r="GD50" s="530"/>
      <c r="GE50" s="530"/>
      <c r="GF50" s="530"/>
      <c r="GG50" s="530"/>
      <c r="GH50" s="530"/>
      <c r="GI50" s="530"/>
      <c r="GJ50" s="530"/>
      <c r="GK50" s="530"/>
      <c r="GL50" s="530"/>
      <c r="GM50" s="530"/>
      <c r="GN50" s="530"/>
      <c r="GO50" s="530"/>
      <c r="GP50" s="530"/>
      <c r="GQ50" s="530"/>
      <c r="GR50" s="530"/>
      <c r="GS50" s="530"/>
      <c r="GT50" s="530"/>
      <c r="GU50" s="530"/>
      <c r="GV50" s="530"/>
      <c r="GW50" s="530"/>
      <c r="GX50" s="530"/>
      <c r="GY50" s="530"/>
      <c r="GZ50" s="530"/>
      <c r="HA50" s="530"/>
      <c r="HB50" s="530"/>
      <c r="HC50" s="530"/>
      <c r="HD50" s="530"/>
      <c r="HE50" s="530"/>
      <c r="HF50" s="530"/>
      <c r="HG50" s="530"/>
      <c r="HH50" s="530"/>
      <c r="HI50" s="530"/>
      <c r="HJ50" s="530"/>
      <c r="HK50" s="530"/>
      <c r="HL50" s="530"/>
      <c r="HM50" s="530"/>
      <c r="HN50" s="530"/>
      <c r="HO50" s="530"/>
      <c r="HP50" s="530"/>
      <c r="HQ50" s="530"/>
      <c r="HR50" s="530"/>
      <c r="HS50" s="530"/>
      <c r="HT50" s="530"/>
      <c r="HU50" s="530"/>
      <c r="HV50" s="530"/>
      <c r="HW50" s="530"/>
      <c r="HX50" s="530"/>
      <c r="HY50" s="530"/>
      <c r="HZ50" s="530"/>
      <c r="IA50" s="530"/>
      <c r="IB50" s="530"/>
      <c r="IC50" s="530"/>
      <c r="ID50" s="530"/>
      <c r="IE50" s="530"/>
      <c r="IF50" s="530"/>
      <c r="IG50" s="530"/>
      <c r="IH50" s="530"/>
      <c r="II50" s="530"/>
      <c r="IJ50" s="530"/>
      <c r="IK50" s="530"/>
      <c r="IL50" s="530"/>
      <c r="IM50" s="530"/>
      <c r="IN50" s="530"/>
      <c r="IO50" s="530"/>
      <c r="IP50" s="530"/>
      <c r="IQ50" s="530"/>
      <c r="IR50" s="530"/>
      <c r="IS50" s="530"/>
      <c r="IT50" s="530"/>
    </row>
    <row r="51" spans="1:254" ht="11.1" customHeight="1" x14ac:dyDescent="0.2">
      <c r="A51" s="547" t="s">
        <v>1989</v>
      </c>
      <c r="B51" s="548">
        <f t="shared" si="0"/>
        <v>19860</v>
      </c>
      <c r="C51" s="549"/>
      <c r="D51" s="550"/>
      <c r="E51" s="548">
        <v>1655</v>
      </c>
      <c r="F51" s="551"/>
      <c r="G51" s="551"/>
      <c r="H51" s="547">
        <f t="shared" si="1"/>
        <v>0</v>
      </c>
      <c r="I51" s="547" t="s">
        <v>1989</v>
      </c>
      <c r="J51" s="548">
        <f t="shared" si="2"/>
        <v>19860</v>
      </c>
      <c r="K51" s="549"/>
      <c r="L51" s="550"/>
      <c r="M51" s="548">
        <v>1655</v>
      </c>
      <c r="N51" s="551"/>
      <c r="O51" s="551"/>
      <c r="P51" s="545"/>
      <c r="Q51" s="546"/>
      <c r="R51" s="546"/>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c r="BS51" s="530"/>
      <c r="BT51" s="530"/>
      <c r="BU51" s="530"/>
      <c r="BV51" s="530"/>
      <c r="BW51" s="530"/>
      <c r="BX51" s="530"/>
      <c r="BY51" s="530"/>
      <c r="BZ51" s="530"/>
      <c r="CA51" s="530"/>
      <c r="CB51" s="530"/>
      <c r="CC51" s="530"/>
      <c r="CD51" s="530"/>
      <c r="CE51" s="530"/>
      <c r="CF51" s="530"/>
      <c r="CG51" s="530"/>
      <c r="CH51" s="530"/>
      <c r="CI51" s="530"/>
      <c r="CJ51" s="530"/>
      <c r="CK51" s="530"/>
      <c r="CL51" s="530"/>
      <c r="CM51" s="530"/>
      <c r="CN51" s="530"/>
      <c r="CO51" s="530"/>
      <c r="CP51" s="530"/>
      <c r="CQ51" s="530"/>
      <c r="CR51" s="530"/>
      <c r="CS51" s="530"/>
      <c r="CT51" s="530"/>
      <c r="CU51" s="530"/>
      <c r="CV51" s="530"/>
      <c r="CW51" s="530"/>
      <c r="CX51" s="530"/>
      <c r="CY51" s="530"/>
      <c r="CZ51" s="530"/>
      <c r="DA51" s="530"/>
      <c r="DB51" s="530"/>
      <c r="DC51" s="530"/>
      <c r="DD51" s="530"/>
      <c r="DE51" s="530"/>
      <c r="DF51" s="530"/>
      <c r="DG51" s="530"/>
      <c r="DH51" s="530"/>
      <c r="DI51" s="530"/>
      <c r="DJ51" s="530"/>
      <c r="DK51" s="530"/>
      <c r="DL51" s="530"/>
      <c r="DM51" s="530"/>
      <c r="DN51" s="530"/>
      <c r="DO51" s="530"/>
      <c r="DP51" s="530"/>
      <c r="DQ51" s="530"/>
      <c r="DR51" s="530"/>
      <c r="DS51" s="530"/>
      <c r="DT51" s="530"/>
      <c r="DU51" s="530"/>
      <c r="DV51" s="530"/>
      <c r="DW51" s="530"/>
      <c r="DX51" s="530"/>
      <c r="DY51" s="530"/>
      <c r="DZ51" s="530"/>
      <c r="EA51" s="530"/>
      <c r="EB51" s="530"/>
      <c r="EC51" s="530"/>
      <c r="ED51" s="530"/>
      <c r="EE51" s="530"/>
      <c r="EF51" s="530"/>
      <c r="EG51" s="530"/>
      <c r="EH51" s="530"/>
      <c r="EI51" s="530"/>
      <c r="EJ51" s="530"/>
      <c r="EK51" s="530"/>
      <c r="EL51" s="530"/>
      <c r="EM51" s="530"/>
      <c r="EN51" s="530"/>
      <c r="EO51" s="530"/>
      <c r="EP51" s="530"/>
      <c r="EQ51" s="530"/>
      <c r="ER51" s="530"/>
      <c r="ES51" s="530"/>
      <c r="ET51" s="530"/>
      <c r="EU51" s="530"/>
      <c r="EV51" s="530"/>
      <c r="EW51" s="530"/>
      <c r="EX51" s="530"/>
      <c r="EY51" s="530"/>
      <c r="EZ51" s="530"/>
      <c r="FA51" s="530"/>
      <c r="FB51" s="530"/>
      <c r="FC51" s="530"/>
      <c r="FD51" s="530"/>
      <c r="FE51" s="530"/>
      <c r="FF51" s="530"/>
      <c r="FG51" s="530"/>
      <c r="FH51" s="530"/>
      <c r="FI51" s="530"/>
      <c r="FJ51" s="530"/>
      <c r="FK51" s="530"/>
      <c r="FL51" s="530"/>
      <c r="FM51" s="530"/>
      <c r="FN51" s="530"/>
      <c r="FO51" s="530"/>
      <c r="FP51" s="530"/>
      <c r="FQ51" s="530"/>
      <c r="FR51" s="530"/>
      <c r="FS51" s="530"/>
      <c r="FT51" s="530"/>
      <c r="FU51" s="530"/>
      <c r="FV51" s="530"/>
      <c r="FW51" s="530"/>
      <c r="FX51" s="530"/>
      <c r="FY51" s="530"/>
      <c r="FZ51" s="530"/>
      <c r="GA51" s="530"/>
      <c r="GB51" s="530"/>
      <c r="GC51" s="530"/>
      <c r="GD51" s="530"/>
      <c r="GE51" s="530"/>
      <c r="GF51" s="530"/>
      <c r="GG51" s="530"/>
      <c r="GH51" s="530"/>
      <c r="GI51" s="530"/>
      <c r="GJ51" s="530"/>
      <c r="GK51" s="530"/>
      <c r="GL51" s="530"/>
      <c r="GM51" s="530"/>
      <c r="GN51" s="530"/>
      <c r="GO51" s="530"/>
      <c r="GP51" s="530"/>
      <c r="GQ51" s="530"/>
      <c r="GR51" s="530"/>
      <c r="GS51" s="530"/>
      <c r="GT51" s="530"/>
      <c r="GU51" s="530"/>
      <c r="GV51" s="530"/>
      <c r="GW51" s="530"/>
      <c r="GX51" s="530"/>
      <c r="GY51" s="530"/>
      <c r="GZ51" s="530"/>
      <c r="HA51" s="530"/>
      <c r="HB51" s="530"/>
      <c r="HC51" s="530"/>
      <c r="HD51" s="530"/>
      <c r="HE51" s="530"/>
      <c r="HF51" s="530"/>
      <c r="HG51" s="530"/>
      <c r="HH51" s="530"/>
      <c r="HI51" s="530"/>
      <c r="HJ51" s="530"/>
      <c r="HK51" s="530"/>
      <c r="HL51" s="530"/>
      <c r="HM51" s="530"/>
      <c r="HN51" s="530"/>
      <c r="HO51" s="530"/>
      <c r="HP51" s="530"/>
      <c r="HQ51" s="530"/>
      <c r="HR51" s="530"/>
      <c r="HS51" s="530"/>
      <c r="HT51" s="530"/>
      <c r="HU51" s="530"/>
      <c r="HV51" s="530"/>
      <c r="HW51" s="530"/>
      <c r="HX51" s="530"/>
      <c r="HY51" s="530"/>
      <c r="HZ51" s="530"/>
      <c r="IA51" s="530"/>
      <c r="IB51" s="530"/>
      <c r="IC51" s="530"/>
      <c r="ID51" s="530"/>
      <c r="IE51" s="530"/>
      <c r="IF51" s="530"/>
      <c r="IG51" s="530"/>
      <c r="IH51" s="530"/>
      <c r="II51" s="530"/>
      <c r="IJ51" s="530"/>
      <c r="IK51" s="530"/>
      <c r="IL51" s="530"/>
      <c r="IM51" s="530"/>
      <c r="IN51" s="530"/>
      <c r="IO51" s="530"/>
      <c r="IP51" s="530"/>
      <c r="IQ51" s="530"/>
      <c r="IR51" s="530"/>
      <c r="IS51" s="530"/>
      <c r="IT51" s="530"/>
    </row>
    <row r="52" spans="1:254" ht="11.1" customHeight="1" x14ac:dyDescent="0.2">
      <c r="A52" s="552" t="s">
        <v>1990</v>
      </c>
      <c r="B52" s="553">
        <f t="shared" si="0"/>
        <v>19416</v>
      </c>
      <c r="C52" s="554"/>
      <c r="D52" s="555"/>
      <c r="E52" s="553">
        <v>1618</v>
      </c>
      <c r="F52" s="556"/>
      <c r="G52" s="556"/>
      <c r="H52" s="552">
        <f t="shared" si="1"/>
        <v>0</v>
      </c>
      <c r="I52" s="552" t="s">
        <v>1990</v>
      </c>
      <c r="J52" s="553">
        <f t="shared" si="2"/>
        <v>19416</v>
      </c>
      <c r="K52" s="554"/>
      <c r="L52" s="555"/>
      <c r="M52" s="553">
        <v>1618</v>
      </c>
      <c r="N52" s="556"/>
      <c r="O52" s="556"/>
      <c r="P52" s="545"/>
      <c r="Q52" s="546"/>
      <c r="R52" s="546"/>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c r="AP52" s="530"/>
      <c r="AQ52" s="530"/>
      <c r="AR52" s="530"/>
      <c r="AS52" s="530"/>
      <c r="AT52" s="530"/>
      <c r="AU52" s="530"/>
      <c r="AV52" s="530"/>
      <c r="AW52" s="530"/>
      <c r="AX52" s="530"/>
      <c r="AY52" s="530"/>
      <c r="AZ52" s="530"/>
      <c r="BA52" s="530"/>
      <c r="BB52" s="530"/>
      <c r="BC52" s="530"/>
      <c r="BD52" s="530"/>
      <c r="BE52" s="530"/>
      <c r="BF52" s="530"/>
      <c r="BG52" s="530"/>
      <c r="BH52" s="530"/>
      <c r="BI52" s="530"/>
      <c r="BJ52" s="530"/>
      <c r="BK52" s="530"/>
      <c r="BL52" s="530"/>
      <c r="BM52" s="530"/>
      <c r="BN52" s="530"/>
      <c r="BO52" s="530"/>
      <c r="BP52" s="530"/>
      <c r="BQ52" s="530"/>
      <c r="BR52" s="530"/>
      <c r="BS52" s="530"/>
      <c r="BT52" s="530"/>
      <c r="BU52" s="530"/>
      <c r="BV52" s="530"/>
      <c r="BW52" s="530"/>
      <c r="BX52" s="530"/>
      <c r="BY52" s="530"/>
      <c r="BZ52" s="530"/>
      <c r="CA52" s="530"/>
      <c r="CB52" s="530"/>
      <c r="CC52" s="530"/>
      <c r="CD52" s="530"/>
      <c r="CE52" s="530"/>
      <c r="CF52" s="530"/>
      <c r="CG52" s="530"/>
      <c r="CH52" s="530"/>
      <c r="CI52" s="530"/>
      <c r="CJ52" s="530"/>
      <c r="CK52" s="530"/>
      <c r="CL52" s="530"/>
      <c r="CM52" s="530"/>
      <c r="CN52" s="530"/>
      <c r="CO52" s="530"/>
      <c r="CP52" s="530"/>
      <c r="CQ52" s="530"/>
      <c r="CR52" s="530"/>
      <c r="CS52" s="530"/>
      <c r="CT52" s="530"/>
      <c r="CU52" s="530"/>
      <c r="CV52" s="530"/>
      <c r="CW52" s="530"/>
      <c r="CX52" s="530"/>
      <c r="CY52" s="530"/>
      <c r="CZ52" s="530"/>
      <c r="DA52" s="530"/>
      <c r="DB52" s="530"/>
      <c r="DC52" s="530"/>
      <c r="DD52" s="530"/>
      <c r="DE52" s="530"/>
      <c r="DF52" s="530"/>
      <c r="DG52" s="530"/>
      <c r="DH52" s="530"/>
      <c r="DI52" s="530"/>
      <c r="DJ52" s="530"/>
      <c r="DK52" s="530"/>
      <c r="DL52" s="530"/>
      <c r="DM52" s="530"/>
      <c r="DN52" s="530"/>
      <c r="DO52" s="530"/>
      <c r="DP52" s="530"/>
      <c r="DQ52" s="530"/>
      <c r="DR52" s="530"/>
      <c r="DS52" s="530"/>
      <c r="DT52" s="530"/>
      <c r="DU52" s="530"/>
      <c r="DV52" s="530"/>
      <c r="DW52" s="530"/>
      <c r="DX52" s="530"/>
      <c r="DY52" s="530"/>
      <c r="DZ52" s="530"/>
      <c r="EA52" s="530"/>
      <c r="EB52" s="530"/>
      <c r="EC52" s="530"/>
      <c r="ED52" s="530"/>
      <c r="EE52" s="530"/>
      <c r="EF52" s="530"/>
      <c r="EG52" s="530"/>
      <c r="EH52" s="530"/>
      <c r="EI52" s="530"/>
      <c r="EJ52" s="530"/>
      <c r="EK52" s="530"/>
      <c r="EL52" s="530"/>
      <c r="EM52" s="530"/>
      <c r="EN52" s="530"/>
      <c r="EO52" s="530"/>
      <c r="EP52" s="530"/>
      <c r="EQ52" s="530"/>
      <c r="ER52" s="530"/>
      <c r="ES52" s="530"/>
      <c r="ET52" s="530"/>
      <c r="EU52" s="530"/>
      <c r="EV52" s="530"/>
      <c r="EW52" s="530"/>
      <c r="EX52" s="530"/>
      <c r="EY52" s="530"/>
      <c r="EZ52" s="530"/>
      <c r="FA52" s="530"/>
      <c r="FB52" s="530"/>
      <c r="FC52" s="530"/>
      <c r="FD52" s="530"/>
      <c r="FE52" s="530"/>
      <c r="FF52" s="530"/>
      <c r="FG52" s="530"/>
      <c r="FH52" s="530"/>
      <c r="FI52" s="530"/>
      <c r="FJ52" s="530"/>
      <c r="FK52" s="530"/>
      <c r="FL52" s="530"/>
      <c r="FM52" s="530"/>
      <c r="FN52" s="530"/>
      <c r="FO52" s="530"/>
      <c r="FP52" s="530"/>
      <c r="FQ52" s="530"/>
      <c r="FR52" s="530"/>
      <c r="FS52" s="530"/>
      <c r="FT52" s="530"/>
      <c r="FU52" s="530"/>
      <c r="FV52" s="530"/>
      <c r="FW52" s="530"/>
      <c r="FX52" s="530"/>
      <c r="FY52" s="530"/>
      <c r="FZ52" s="530"/>
      <c r="GA52" s="530"/>
      <c r="GB52" s="530"/>
      <c r="GC52" s="530"/>
      <c r="GD52" s="530"/>
      <c r="GE52" s="530"/>
      <c r="GF52" s="530"/>
      <c r="GG52" s="530"/>
      <c r="GH52" s="530"/>
      <c r="GI52" s="530"/>
      <c r="GJ52" s="530"/>
      <c r="GK52" s="530"/>
      <c r="GL52" s="530"/>
      <c r="GM52" s="530"/>
      <c r="GN52" s="530"/>
      <c r="GO52" s="530"/>
      <c r="GP52" s="530"/>
      <c r="GQ52" s="530"/>
      <c r="GR52" s="530"/>
      <c r="GS52" s="530"/>
      <c r="GT52" s="530"/>
      <c r="GU52" s="530"/>
      <c r="GV52" s="530"/>
      <c r="GW52" s="530"/>
      <c r="GX52" s="530"/>
      <c r="GY52" s="530"/>
      <c r="GZ52" s="530"/>
      <c r="HA52" s="530"/>
      <c r="HB52" s="530"/>
      <c r="HC52" s="530"/>
      <c r="HD52" s="530"/>
      <c r="HE52" s="530"/>
      <c r="HF52" s="530"/>
      <c r="HG52" s="530"/>
      <c r="HH52" s="530"/>
      <c r="HI52" s="530"/>
      <c r="HJ52" s="530"/>
      <c r="HK52" s="530"/>
      <c r="HL52" s="530"/>
      <c r="HM52" s="530"/>
      <c r="HN52" s="530"/>
      <c r="HO52" s="530"/>
      <c r="HP52" s="530"/>
      <c r="HQ52" s="530"/>
      <c r="HR52" s="530"/>
      <c r="HS52" s="530"/>
      <c r="HT52" s="530"/>
      <c r="HU52" s="530"/>
      <c r="HV52" s="530"/>
      <c r="HW52" s="530"/>
      <c r="HX52" s="530"/>
      <c r="HY52" s="530"/>
      <c r="HZ52" s="530"/>
      <c r="IA52" s="530"/>
      <c r="IB52" s="530"/>
      <c r="IC52" s="530"/>
      <c r="ID52" s="530"/>
      <c r="IE52" s="530"/>
      <c r="IF52" s="530"/>
      <c r="IG52" s="530"/>
      <c r="IH52" s="530"/>
      <c r="II52" s="530"/>
      <c r="IJ52" s="530"/>
      <c r="IK52" s="530"/>
      <c r="IL52" s="530"/>
      <c r="IM52" s="530"/>
      <c r="IN52" s="530"/>
      <c r="IO52" s="530"/>
      <c r="IP52" s="530"/>
      <c r="IQ52" s="530"/>
      <c r="IR52" s="530"/>
      <c r="IS52" s="530"/>
      <c r="IT52" s="530"/>
    </row>
    <row r="53" spans="1:254" ht="11.1" customHeight="1" x14ac:dyDescent="0.2">
      <c r="A53" s="547" t="s">
        <v>1991</v>
      </c>
      <c r="B53" s="548">
        <f t="shared" si="0"/>
        <v>18972</v>
      </c>
      <c r="C53" s="549"/>
      <c r="D53" s="550"/>
      <c r="E53" s="548">
        <v>1581</v>
      </c>
      <c r="F53" s="551"/>
      <c r="G53" s="551"/>
      <c r="H53" s="547">
        <f t="shared" si="1"/>
        <v>0</v>
      </c>
      <c r="I53" s="547" t="s">
        <v>1991</v>
      </c>
      <c r="J53" s="548">
        <f t="shared" si="2"/>
        <v>18972</v>
      </c>
      <c r="K53" s="549"/>
      <c r="L53" s="550"/>
      <c r="M53" s="548">
        <v>1581</v>
      </c>
      <c r="N53" s="551"/>
      <c r="O53" s="551"/>
      <c r="P53" s="545"/>
      <c r="Q53" s="546"/>
      <c r="R53" s="546"/>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c r="AP53" s="530"/>
      <c r="AQ53" s="530"/>
      <c r="AR53" s="530"/>
      <c r="AS53" s="530"/>
      <c r="AT53" s="530"/>
      <c r="AU53" s="530"/>
      <c r="AV53" s="530"/>
      <c r="AW53" s="530"/>
      <c r="AX53" s="530"/>
      <c r="AY53" s="530"/>
      <c r="AZ53" s="530"/>
      <c r="BA53" s="530"/>
      <c r="BB53" s="530"/>
      <c r="BC53" s="530"/>
      <c r="BD53" s="530"/>
      <c r="BE53" s="530"/>
      <c r="BF53" s="530"/>
      <c r="BG53" s="530"/>
      <c r="BH53" s="530"/>
      <c r="BI53" s="530"/>
      <c r="BJ53" s="530"/>
      <c r="BK53" s="530"/>
      <c r="BL53" s="530"/>
      <c r="BM53" s="530"/>
      <c r="BN53" s="530"/>
      <c r="BO53" s="530"/>
      <c r="BP53" s="530"/>
      <c r="BQ53" s="530"/>
      <c r="BR53" s="530"/>
      <c r="BS53" s="530"/>
      <c r="BT53" s="530"/>
      <c r="BU53" s="530"/>
      <c r="BV53" s="530"/>
      <c r="BW53" s="530"/>
      <c r="BX53" s="530"/>
      <c r="BY53" s="530"/>
      <c r="BZ53" s="530"/>
      <c r="CA53" s="530"/>
      <c r="CB53" s="530"/>
      <c r="CC53" s="530"/>
      <c r="CD53" s="530"/>
      <c r="CE53" s="530"/>
      <c r="CF53" s="530"/>
      <c r="CG53" s="530"/>
      <c r="CH53" s="530"/>
      <c r="CI53" s="530"/>
      <c r="CJ53" s="530"/>
      <c r="CK53" s="530"/>
      <c r="CL53" s="530"/>
      <c r="CM53" s="530"/>
      <c r="CN53" s="530"/>
      <c r="CO53" s="530"/>
      <c r="CP53" s="530"/>
      <c r="CQ53" s="530"/>
      <c r="CR53" s="530"/>
      <c r="CS53" s="530"/>
      <c r="CT53" s="530"/>
      <c r="CU53" s="530"/>
      <c r="CV53" s="530"/>
      <c r="CW53" s="530"/>
      <c r="CX53" s="530"/>
      <c r="CY53" s="530"/>
      <c r="CZ53" s="530"/>
      <c r="DA53" s="530"/>
      <c r="DB53" s="530"/>
      <c r="DC53" s="530"/>
      <c r="DD53" s="530"/>
      <c r="DE53" s="530"/>
      <c r="DF53" s="530"/>
      <c r="DG53" s="530"/>
      <c r="DH53" s="530"/>
      <c r="DI53" s="530"/>
      <c r="DJ53" s="530"/>
      <c r="DK53" s="530"/>
      <c r="DL53" s="530"/>
      <c r="DM53" s="530"/>
      <c r="DN53" s="530"/>
      <c r="DO53" s="530"/>
      <c r="DP53" s="530"/>
      <c r="DQ53" s="530"/>
      <c r="DR53" s="530"/>
      <c r="DS53" s="530"/>
      <c r="DT53" s="530"/>
      <c r="DU53" s="530"/>
      <c r="DV53" s="530"/>
      <c r="DW53" s="530"/>
      <c r="DX53" s="530"/>
      <c r="DY53" s="530"/>
      <c r="DZ53" s="530"/>
      <c r="EA53" s="530"/>
      <c r="EB53" s="530"/>
      <c r="EC53" s="530"/>
      <c r="ED53" s="530"/>
      <c r="EE53" s="530"/>
      <c r="EF53" s="530"/>
      <c r="EG53" s="530"/>
      <c r="EH53" s="530"/>
      <c r="EI53" s="530"/>
      <c r="EJ53" s="530"/>
      <c r="EK53" s="530"/>
      <c r="EL53" s="530"/>
      <c r="EM53" s="530"/>
      <c r="EN53" s="530"/>
      <c r="EO53" s="530"/>
      <c r="EP53" s="530"/>
      <c r="EQ53" s="530"/>
      <c r="ER53" s="530"/>
      <c r="ES53" s="530"/>
      <c r="ET53" s="530"/>
      <c r="EU53" s="530"/>
      <c r="EV53" s="530"/>
      <c r="EW53" s="530"/>
      <c r="EX53" s="530"/>
      <c r="EY53" s="530"/>
      <c r="EZ53" s="530"/>
      <c r="FA53" s="530"/>
      <c r="FB53" s="530"/>
      <c r="FC53" s="530"/>
      <c r="FD53" s="530"/>
      <c r="FE53" s="530"/>
      <c r="FF53" s="530"/>
      <c r="FG53" s="530"/>
      <c r="FH53" s="530"/>
      <c r="FI53" s="530"/>
      <c r="FJ53" s="530"/>
      <c r="FK53" s="530"/>
      <c r="FL53" s="530"/>
      <c r="FM53" s="530"/>
      <c r="FN53" s="530"/>
      <c r="FO53" s="530"/>
      <c r="FP53" s="530"/>
      <c r="FQ53" s="530"/>
      <c r="FR53" s="530"/>
      <c r="FS53" s="530"/>
      <c r="FT53" s="530"/>
      <c r="FU53" s="530"/>
      <c r="FV53" s="530"/>
      <c r="FW53" s="530"/>
      <c r="FX53" s="530"/>
      <c r="FY53" s="530"/>
      <c r="FZ53" s="530"/>
      <c r="GA53" s="530"/>
      <c r="GB53" s="530"/>
      <c r="GC53" s="530"/>
      <c r="GD53" s="530"/>
      <c r="GE53" s="530"/>
      <c r="GF53" s="530"/>
      <c r="GG53" s="530"/>
      <c r="GH53" s="530"/>
      <c r="GI53" s="530"/>
      <c r="GJ53" s="530"/>
      <c r="GK53" s="530"/>
      <c r="GL53" s="530"/>
      <c r="GM53" s="530"/>
      <c r="GN53" s="530"/>
      <c r="GO53" s="530"/>
      <c r="GP53" s="530"/>
      <c r="GQ53" s="530"/>
      <c r="GR53" s="530"/>
      <c r="GS53" s="530"/>
      <c r="GT53" s="530"/>
      <c r="GU53" s="530"/>
      <c r="GV53" s="530"/>
      <c r="GW53" s="530"/>
      <c r="GX53" s="530"/>
      <c r="GY53" s="530"/>
      <c r="GZ53" s="530"/>
      <c r="HA53" s="530"/>
      <c r="HB53" s="530"/>
      <c r="HC53" s="530"/>
      <c r="HD53" s="530"/>
      <c r="HE53" s="530"/>
      <c r="HF53" s="530"/>
      <c r="HG53" s="530"/>
      <c r="HH53" s="530"/>
      <c r="HI53" s="530"/>
      <c r="HJ53" s="530"/>
      <c r="HK53" s="530"/>
      <c r="HL53" s="530"/>
      <c r="HM53" s="530"/>
      <c r="HN53" s="530"/>
      <c r="HO53" s="530"/>
      <c r="HP53" s="530"/>
      <c r="HQ53" s="530"/>
      <c r="HR53" s="530"/>
      <c r="HS53" s="530"/>
      <c r="HT53" s="530"/>
      <c r="HU53" s="530"/>
      <c r="HV53" s="530"/>
      <c r="HW53" s="530"/>
      <c r="HX53" s="530"/>
      <c r="HY53" s="530"/>
      <c r="HZ53" s="530"/>
      <c r="IA53" s="530"/>
      <c r="IB53" s="530"/>
      <c r="IC53" s="530"/>
      <c r="ID53" s="530"/>
      <c r="IE53" s="530"/>
      <c r="IF53" s="530"/>
      <c r="IG53" s="530"/>
      <c r="IH53" s="530"/>
      <c r="II53" s="530"/>
      <c r="IJ53" s="530"/>
      <c r="IK53" s="530"/>
      <c r="IL53" s="530"/>
      <c r="IM53" s="530"/>
      <c r="IN53" s="530"/>
      <c r="IO53" s="530"/>
      <c r="IP53" s="530"/>
      <c r="IQ53" s="530"/>
      <c r="IR53" s="530"/>
      <c r="IS53" s="530"/>
      <c r="IT53" s="530"/>
    </row>
    <row r="54" spans="1:254" ht="11.1" customHeight="1" thickBot="1" x14ac:dyDescent="0.25">
      <c r="A54" s="552" t="s">
        <v>1992</v>
      </c>
      <c r="B54" s="553">
        <f t="shared" si="0"/>
        <v>18528</v>
      </c>
      <c r="C54" s="556" t="s">
        <v>1948</v>
      </c>
      <c r="D54" s="555">
        <f>G54*12</f>
        <v>444</v>
      </c>
      <c r="E54" s="553">
        <v>1544</v>
      </c>
      <c r="F54" s="556" t="s">
        <v>1948</v>
      </c>
      <c r="G54" s="556">
        <v>37</v>
      </c>
      <c r="H54" s="552">
        <f t="shared" si="1"/>
        <v>0</v>
      </c>
      <c r="I54" s="552" t="s">
        <v>1992</v>
      </c>
      <c r="J54" s="553">
        <f t="shared" si="2"/>
        <v>18528</v>
      </c>
      <c r="K54" s="556" t="s">
        <v>1948</v>
      </c>
      <c r="L54" s="555">
        <f>O54*12</f>
        <v>444</v>
      </c>
      <c r="M54" s="553">
        <v>1544</v>
      </c>
      <c r="N54" s="556" t="s">
        <v>1948</v>
      </c>
      <c r="O54" s="556">
        <v>37</v>
      </c>
      <c r="P54" s="545"/>
      <c r="Q54" s="546"/>
      <c r="R54" s="546"/>
      <c r="S54" s="530"/>
      <c r="T54" s="530"/>
      <c r="U54" s="530"/>
      <c r="V54" s="530"/>
      <c r="W54" s="530"/>
      <c r="X54" s="530"/>
      <c r="Y54" s="530"/>
      <c r="Z54" s="530"/>
      <c r="AA54" s="530"/>
      <c r="AB54" s="530"/>
      <c r="AC54" s="530"/>
      <c r="AD54" s="530"/>
      <c r="AE54" s="530"/>
      <c r="AF54" s="530"/>
      <c r="AG54" s="530"/>
      <c r="AH54" s="530"/>
      <c r="AI54" s="530"/>
      <c r="AJ54" s="530"/>
      <c r="AK54" s="530"/>
      <c r="AL54" s="530"/>
      <c r="AM54" s="530"/>
      <c r="AN54" s="530"/>
      <c r="AO54" s="530"/>
      <c r="AP54" s="530"/>
      <c r="AQ54" s="530"/>
      <c r="AR54" s="530"/>
      <c r="AS54" s="530"/>
      <c r="AT54" s="530"/>
      <c r="AU54" s="530"/>
      <c r="AV54" s="530"/>
      <c r="AW54" s="530"/>
      <c r="AX54" s="530"/>
      <c r="AY54" s="530"/>
      <c r="AZ54" s="530"/>
      <c r="BA54" s="530"/>
      <c r="BB54" s="530"/>
      <c r="BC54" s="530"/>
      <c r="BD54" s="530"/>
      <c r="BE54" s="530"/>
      <c r="BF54" s="530"/>
      <c r="BG54" s="530"/>
      <c r="BH54" s="530"/>
      <c r="BI54" s="530"/>
      <c r="BJ54" s="530"/>
      <c r="BK54" s="530"/>
      <c r="BL54" s="530"/>
      <c r="BM54" s="530"/>
      <c r="BN54" s="530"/>
      <c r="BO54" s="530"/>
      <c r="BP54" s="530"/>
      <c r="BQ54" s="530"/>
      <c r="BR54" s="530"/>
      <c r="BS54" s="530"/>
      <c r="BT54" s="530"/>
      <c r="BU54" s="530"/>
      <c r="BV54" s="530"/>
      <c r="BW54" s="530"/>
      <c r="BX54" s="530"/>
      <c r="BY54" s="530"/>
      <c r="BZ54" s="530"/>
      <c r="CA54" s="530"/>
      <c r="CB54" s="530"/>
      <c r="CC54" s="530"/>
      <c r="CD54" s="530"/>
      <c r="CE54" s="530"/>
      <c r="CF54" s="530"/>
      <c r="CG54" s="530"/>
      <c r="CH54" s="530"/>
      <c r="CI54" s="530"/>
      <c r="CJ54" s="530"/>
      <c r="CK54" s="530"/>
      <c r="CL54" s="530"/>
      <c r="CM54" s="530"/>
      <c r="CN54" s="530"/>
      <c r="CO54" s="530"/>
      <c r="CP54" s="530"/>
      <c r="CQ54" s="530"/>
      <c r="CR54" s="530"/>
      <c r="CS54" s="530"/>
      <c r="CT54" s="530"/>
      <c r="CU54" s="530"/>
      <c r="CV54" s="530"/>
      <c r="CW54" s="530"/>
      <c r="CX54" s="530"/>
      <c r="CY54" s="530"/>
      <c r="CZ54" s="530"/>
      <c r="DA54" s="530"/>
      <c r="DB54" s="530"/>
      <c r="DC54" s="530"/>
      <c r="DD54" s="530"/>
      <c r="DE54" s="530"/>
      <c r="DF54" s="530"/>
      <c r="DG54" s="530"/>
      <c r="DH54" s="530"/>
      <c r="DI54" s="530"/>
      <c r="DJ54" s="530"/>
      <c r="DK54" s="530"/>
      <c r="DL54" s="530"/>
      <c r="DM54" s="530"/>
      <c r="DN54" s="530"/>
      <c r="DO54" s="530"/>
      <c r="DP54" s="530"/>
      <c r="DQ54" s="530"/>
      <c r="DR54" s="530"/>
      <c r="DS54" s="530"/>
      <c r="DT54" s="530"/>
      <c r="DU54" s="530"/>
      <c r="DV54" s="530"/>
      <c r="DW54" s="530"/>
      <c r="DX54" s="530"/>
      <c r="DY54" s="530"/>
      <c r="DZ54" s="530"/>
      <c r="EA54" s="530"/>
      <c r="EB54" s="530"/>
      <c r="EC54" s="530"/>
      <c r="ED54" s="530"/>
      <c r="EE54" s="530"/>
      <c r="EF54" s="530"/>
      <c r="EG54" s="530"/>
      <c r="EH54" s="530"/>
      <c r="EI54" s="530"/>
      <c r="EJ54" s="530"/>
      <c r="EK54" s="530"/>
      <c r="EL54" s="530"/>
      <c r="EM54" s="530"/>
      <c r="EN54" s="530"/>
      <c r="EO54" s="530"/>
      <c r="EP54" s="530"/>
      <c r="EQ54" s="530"/>
      <c r="ER54" s="530"/>
      <c r="ES54" s="530"/>
      <c r="ET54" s="530"/>
      <c r="EU54" s="530"/>
      <c r="EV54" s="530"/>
      <c r="EW54" s="530"/>
      <c r="EX54" s="530"/>
      <c r="EY54" s="530"/>
      <c r="EZ54" s="530"/>
      <c r="FA54" s="530"/>
      <c r="FB54" s="530"/>
      <c r="FC54" s="530"/>
      <c r="FD54" s="530"/>
      <c r="FE54" s="530"/>
      <c r="FF54" s="530"/>
      <c r="FG54" s="530"/>
      <c r="FH54" s="530"/>
      <c r="FI54" s="530"/>
      <c r="FJ54" s="530"/>
      <c r="FK54" s="530"/>
      <c r="FL54" s="530"/>
      <c r="FM54" s="530"/>
      <c r="FN54" s="530"/>
      <c r="FO54" s="530"/>
      <c r="FP54" s="530"/>
      <c r="FQ54" s="530"/>
      <c r="FR54" s="530"/>
      <c r="FS54" s="530"/>
      <c r="FT54" s="530"/>
      <c r="FU54" s="530"/>
      <c r="FV54" s="530"/>
      <c r="FW54" s="530"/>
      <c r="FX54" s="530"/>
      <c r="FY54" s="530"/>
      <c r="FZ54" s="530"/>
      <c r="GA54" s="530"/>
      <c r="GB54" s="530"/>
      <c r="GC54" s="530"/>
      <c r="GD54" s="530"/>
      <c r="GE54" s="530"/>
      <c r="GF54" s="530"/>
      <c r="GG54" s="530"/>
      <c r="GH54" s="530"/>
      <c r="GI54" s="530"/>
      <c r="GJ54" s="530"/>
      <c r="GK54" s="530"/>
      <c r="GL54" s="530"/>
      <c r="GM54" s="530"/>
      <c r="GN54" s="530"/>
      <c r="GO54" s="530"/>
      <c r="GP54" s="530"/>
      <c r="GQ54" s="530"/>
      <c r="GR54" s="530"/>
      <c r="GS54" s="530"/>
      <c r="GT54" s="530"/>
      <c r="GU54" s="530"/>
      <c r="GV54" s="530"/>
      <c r="GW54" s="530"/>
      <c r="GX54" s="530"/>
      <c r="GY54" s="530"/>
      <c r="GZ54" s="530"/>
      <c r="HA54" s="530"/>
      <c r="HB54" s="530"/>
      <c r="HC54" s="530"/>
      <c r="HD54" s="530"/>
      <c r="HE54" s="530"/>
      <c r="HF54" s="530"/>
      <c r="HG54" s="530"/>
      <c r="HH54" s="530"/>
      <c r="HI54" s="530"/>
      <c r="HJ54" s="530"/>
      <c r="HK54" s="530"/>
      <c r="HL54" s="530"/>
      <c r="HM54" s="530"/>
      <c r="HN54" s="530"/>
      <c r="HO54" s="530"/>
      <c r="HP54" s="530"/>
      <c r="HQ54" s="530"/>
      <c r="HR54" s="530"/>
      <c r="HS54" s="530"/>
      <c r="HT54" s="530"/>
      <c r="HU54" s="530"/>
      <c r="HV54" s="530"/>
      <c r="HW54" s="530"/>
      <c r="HX54" s="530"/>
      <c r="HY54" s="530"/>
      <c r="HZ54" s="530"/>
      <c r="IA54" s="530"/>
      <c r="IB54" s="530"/>
      <c r="IC54" s="530"/>
      <c r="ID54" s="530"/>
      <c r="IE54" s="530"/>
      <c r="IF54" s="530"/>
      <c r="IG54" s="530"/>
      <c r="IH54" s="530"/>
      <c r="II54" s="530"/>
      <c r="IJ54" s="530"/>
      <c r="IK54" s="530"/>
      <c r="IL54" s="530"/>
      <c r="IM54" s="530"/>
      <c r="IN54" s="530"/>
      <c r="IO54" s="530"/>
      <c r="IP54" s="530"/>
      <c r="IQ54" s="530"/>
      <c r="IR54" s="530"/>
      <c r="IS54" s="530"/>
      <c r="IT54" s="530"/>
    </row>
    <row r="55" spans="1:254" ht="27.95" customHeight="1" x14ac:dyDescent="0.2">
      <c r="A55" s="558" t="s">
        <v>1993</v>
      </c>
      <c r="B55" s="559"/>
      <c r="C55" s="559"/>
      <c r="D55" s="541"/>
      <c r="E55" s="559"/>
      <c r="F55" s="559"/>
      <c r="G55" s="559"/>
      <c r="H55" s="559"/>
      <c r="I55" s="559"/>
      <c r="J55" s="559"/>
      <c r="K55" s="559"/>
      <c r="L55" s="541"/>
      <c r="M55" s="559"/>
      <c r="N55" s="559"/>
      <c r="O55" s="559"/>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530"/>
      <c r="AY55" s="530"/>
      <c r="AZ55" s="530"/>
      <c r="BA55" s="530"/>
      <c r="BB55" s="530"/>
      <c r="BC55" s="530"/>
      <c r="BD55" s="530"/>
      <c r="BE55" s="530"/>
      <c r="BF55" s="530"/>
      <c r="BG55" s="530"/>
      <c r="BH55" s="530"/>
      <c r="BI55" s="530"/>
      <c r="BJ55" s="530"/>
      <c r="BK55" s="530"/>
      <c r="BL55" s="530"/>
      <c r="BM55" s="530"/>
      <c r="BN55" s="530"/>
      <c r="BO55" s="530"/>
      <c r="BP55" s="530"/>
      <c r="BQ55" s="530"/>
      <c r="BR55" s="530"/>
      <c r="BS55" s="530"/>
      <c r="BT55" s="530"/>
      <c r="BU55" s="530"/>
      <c r="BV55" s="530"/>
      <c r="BW55" s="530"/>
      <c r="BX55" s="530"/>
      <c r="BY55" s="530"/>
      <c r="BZ55" s="530"/>
      <c r="CA55" s="530"/>
      <c r="CB55" s="530"/>
      <c r="CC55" s="530"/>
      <c r="CD55" s="530"/>
      <c r="CE55" s="530"/>
      <c r="CF55" s="530"/>
      <c r="CG55" s="530"/>
      <c r="CH55" s="530"/>
      <c r="CI55" s="530"/>
      <c r="CJ55" s="530"/>
      <c r="CK55" s="530"/>
      <c r="CL55" s="530"/>
      <c r="CM55" s="530"/>
      <c r="CN55" s="530"/>
      <c r="CO55" s="530"/>
      <c r="CP55" s="530"/>
      <c r="CQ55" s="530"/>
      <c r="CR55" s="530"/>
      <c r="CS55" s="530"/>
      <c r="CT55" s="530"/>
      <c r="CU55" s="530"/>
      <c r="CV55" s="530"/>
      <c r="CW55" s="530"/>
      <c r="CX55" s="530"/>
      <c r="CY55" s="530"/>
      <c r="CZ55" s="530"/>
      <c r="DA55" s="530"/>
      <c r="DB55" s="530"/>
      <c r="DC55" s="530"/>
      <c r="DD55" s="530"/>
      <c r="DE55" s="530"/>
      <c r="DF55" s="530"/>
      <c r="DG55" s="530"/>
      <c r="DH55" s="530"/>
      <c r="DI55" s="530"/>
      <c r="DJ55" s="530"/>
      <c r="DK55" s="530"/>
      <c r="DL55" s="530"/>
      <c r="DM55" s="530"/>
      <c r="DN55" s="530"/>
      <c r="DO55" s="530"/>
      <c r="DP55" s="530"/>
      <c r="DQ55" s="530"/>
      <c r="DR55" s="530"/>
      <c r="DS55" s="530"/>
      <c r="DT55" s="530"/>
      <c r="DU55" s="530"/>
      <c r="DV55" s="530"/>
      <c r="DW55" s="530"/>
      <c r="DX55" s="530"/>
      <c r="DY55" s="530"/>
      <c r="DZ55" s="530"/>
      <c r="EA55" s="530"/>
      <c r="EB55" s="530"/>
      <c r="EC55" s="530"/>
      <c r="ED55" s="530"/>
      <c r="EE55" s="530"/>
      <c r="EF55" s="530"/>
      <c r="EG55" s="530"/>
      <c r="EH55" s="530"/>
      <c r="EI55" s="530"/>
      <c r="EJ55" s="530"/>
      <c r="EK55" s="530"/>
      <c r="EL55" s="530"/>
      <c r="EM55" s="530"/>
      <c r="EN55" s="530"/>
      <c r="EO55" s="530"/>
      <c r="EP55" s="530"/>
      <c r="EQ55" s="530"/>
      <c r="ER55" s="530"/>
      <c r="ES55" s="530"/>
      <c r="ET55" s="530"/>
      <c r="EU55" s="530"/>
      <c r="EV55" s="530"/>
      <c r="EW55" s="530"/>
      <c r="EX55" s="530"/>
      <c r="EY55" s="530"/>
      <c r="EZ55" s="530"/>
      <c r="FA55" s="530"/>
      <c r="FB55" s="530"/>
      <c r="FC55" s="530"/>
      <c r="FD55" s="530"/>
      <c r="FE55" s="530"/>
      <c r="FF55" s="530"/>
      <c r="FG55" s="530"/>
      <c r="FH55" s="530"/>
      <c r="FI55" s="530"/>
      <c r="FJ55" s="530"/>
      <c r="FK55" s="530"/>
      <c r="FL55" s="530"/>
      <c r="FM55" s="530"/>
      <c r="FN55" s="530"/>
      <c r="FO55" s="530"/>
      <c r="FP55" s="530"/>
      <c r="FQ55" s="530"/>
      <c r="FR55" s="530"/>
      <c r="FS55" s="530"/>
      <c r="FT55" s="530"/>
      <c r="FU55" s="530"/>
      <c r="FV55" s="530"/>
      <c r="FW55" s="530"/>
      <c r="FX55" s="530"/>
      <c r="FY55" s="530"/>
      <c r="FZ55" s="530"/>
      <c r="GA55" s="530"/>
      <c r="GB55" s="530"/>
      <c r="GC55" s="530"/>
      <c r="GD55" s="530"/>
      <c r="GE55" s="530"/>
      <c r="GF55" s="530"/>
      <c r="GG55" s="530"/>
      <c r="GH55" s="530"/>
      <c r="GI55" s="530"/>
      <c r="GJ55" s="530"/>
      <c r="GK55" s="530"/>
      <c r="GL55" s="530"/>
      <c r="GM55" s="530"/>
      <c r="GN55" s="530"/>
      <c r="GO55" s="530"/>
      <c r="GP55" s="530"/>
      <c r="GQ55" s="530"/>
      <c r="GR55" s="530"/>
      <c r="GS55" s="530"/>
      <c r="GT55" s="530"/>
      <c r="GU55" s="530"/>
      <c r="GV55" s="530"/>
      <c r="GW55" s="530"/>
      <c r="GX55" s="530"/>
      <c r="GY55" s="530"/>
      <c r="GZ55" s="530"/>
      <c r="HA55" s="530"/>
      <c r="HB55" s="530"/>
      <c r="HC55" s="530"/>
      <c r="HD55" s="530"/>
      <c r="HE55" s="530"/>
      <c r="HF55" s="530"/>
      <c r="HG55" s="530"/>
      <c r="HH55" s="530"/>
      <c r="HI55" s="530"/>
      <c r="HJ55" s="530"/>
      <c r="HK55" s="530"/>
      <c r="HL55" s="530"/>
      <c r="HM55" s="530"/>
      <c r="HN55" s="530"/>
      <c r="HO55" s="530"/>
      <c r="HP55" s="530"/>
      <c r="HQ55" s="530"/>
      <c r="HR55" s="530"/>
      <c r="HS55" s="530"/>
      <c r="HT55" s="530"/>
      <c r="HU55" s="530"/>
      <c r="HV55" s="530"/>
      <c r="HW55" s="530"/>
      <c r="HX55" s="530"/>
      <c r="HY55" s="530"/>
      <c r="HZ55" s="530"/>
      <c r="IA55" s="530"/>
      <c r="IB55" s="530"/>
      <c r="IC55" s="530"/>
      <c r="ID55" s="530"/>
      <c r="IE55" s="530"/>
      <c r="IF55" s="530"/>
      <c r="IG55" s="530"/>
      <c r="IH55" s="530"/>
      <c r="II55" s="530"/>
      <c r="IJ55" s="530"/>
      <c r="IK55" s="530"/>
      <c r="IL55" s="530"/>
      <c r="IM55" s="530"/>
      <c r="IN55" s="530"/>
      <c r="IO55" s="530"/>
      <c r="IP55" s="530"/>
      <c r="IQ55" s="530"/>
      <c r="IR55" s="530"/>
      <c r="IS55" s="530"/>
      <c r="IT55" s="530"/>
    </row>
    <row r="56" spans="1:254" ht="11.25" customHeight="1" thickBot="1" x14ac:dyDescent="0.25">
      <c r="A56" s="560" t="s">
        <v>1994</v>
      </c>
      <c r="B56" s="561" t="s">
        <v>1995</v>
      </c>
      <c r="C56" s="560"/>
      <c r="D56" s="555"/>
      <c r="E56" s="560"/>
      <c r="F56" s="560"/>
      <c r="G56" s="562" t="s">
        <v>1996</v>
      </c>
      <c r="H56" s="563"/>
      <c r="I56" s="563" t="s">
        <v>1997</v>
      </c>
      <c r="J56" s="563" t="s">
        <v>1998</v>
      </c>
      <c r="L56" s="564"/>
      <c r="M56" s="530"/>
      <c r="N56" s="530"/>
      <c r="O56" s="530"/>
      <c r="P56" s="565"/>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530"/>
      <c r="AY56" s="530"/>
      <c r="AZ56" s="530"/>
      <c r="BA56" s="530"/>
      <c r="BB56" s="530"/>
      <c r="BC56" s="530"/>
      <c r="BD56" s="530"/>
      <c r="BE56" s="530"/>
      <c r="BF56" s="530"/>
      <c r="BG56" s="530"/>
      <c r="BH56" s="530"/>
      <c r="BI56" s="530"/>
      <c r="BJ56" s="530"/>
      <c r="BK56" s="530"/>
      <c r="BL56" s="530"/>
      <c r="BM56" s="530"/>
      <c r="BN56" s="530"/>
      <c r="BO56" s="530"/>
      <c r="BP56" s="530"/>
      <c r="BQ56" s="530"/>
      <c r="BR56" s="530"/>
      <c r="BS56" s="530"/>
      <c r="BT56" s="530"/>
      <c r="BU56" s="530"/>
      <c r="BV56" s="530"/>
      <c r="BW56" s="530"/>
      <c r="BX56" s="530"/>
      <c r="BY56" s="530"/>
      <c r="BZ56" s="530"/>
      <c r="CA56" s="530"/>
      <c r="CB56" s="530"/>
      <c r="CC56" s="530"/>
      <c r="CD56" s="530"/>
      <c r="CE56" s="530"/>
      <c r="CF56" s="530"/>
      <c r="CG56" s="530"/>
      <c r="CH56" s="530"/>
      <c r="CI56" s="530"/>
      <c r="CJ56" s="530"/>
      <c r="CK56" s="530"/>
      <c r="CL56" s="530"/>
      <c r="CM56" s="530"/>
      <c r="CN56" s="530"/>
      <c r="CO56" s="530"/>
      <c r="CP56" s="530"/>
      <c r="CQ56" s="530"/>
      <c r="CR56" s="530"/>
      <c r="CS56" s="530"/>
      <c r="CT56" s="530"/>
      <c r="CU56" s="530"/>
      <c r="CV56" s="530"/>
      <c r="CW56" s="530"/>
      <c r="CX56" s="530"/>
      <c r="CY56" s="530"/>
      <c r="CZ56" s="530"/>
      <c r="DA56" s="530"/>
      <c r="DB56" s="530"/>
      <c r="DC56" s="530"/>
      <c r="DD56" s="530"/>
      <c r="DE56" s="530"/>
      <c r="DF56" s="530"/>
      <c r="DG56" s="530"/>
      <c r="DH56" s="530"/>
      <c r="DI56" s="530"/>
      <c r="DJ56" s="530"/>
      <c r="DK56" s="530"/>
      <c r="DL56" s="530"/>
      <c r="DM56" s="530"/>
      <c r="DN56" s="530"/>
      <c r="DO56" s="530"/>
      <c r="DP56" s="530"/>
      <c r="DQ56" s="530"/>
      <c r="DR56" s="530"/>
      <c r="DS56" s="530"/>
      <c r="DT56" s="530"/>
      <c r="DU56" s="530"/>
      <c r="DV56" s="530"/>
      <c r="DW56" s="530"/>
      <c r="DX56" s="530"/>
      <c r="DY56" s="530"/>
      <c r="DZ56" s="530"/>
      <c r="EA56" s="530"/>
      <c r="EB56" s="530"/>
      <c r="EC56" s="530"/>
      <c r="ED56" s="530"/>
      <c r="EE56" s="530"/>
      <c r="EF56" s="530"/>
      <c r="EG56" s="530"/>
      <c r="EH56" s="530"/>
      <c r="EI56" s="530"/>
      <c r="EJ56" s="530"/>
      <c r="EK56" s="530"/>
      <c r="EL56" s="530"/>
      <c r="EM56" s="530"/>
      <c r="EN56" s="530"/>
      <c r="EO56" s="530"/>
      <c r="EP56" s="530"/>
      <c r="EQ56" s="530"/>
      <c r="ER56" s="530"/>
      <c r="ES56" s="530"/>
      <c r="ET56" s="530"/>
      <c r="EU56" s="530"/>
      <c r="EV56" s="530"/>
      <c r="EW56" s="530"/>
      <c r="EX56" s="530"/>
      <c r="EY56" s="530"/>
      <c r="EZ56" s="530"/>
      <c r="FA56" s="530"/>
      <c r="FB56" s="530"/>
      <c r="FC56" s="530"/>
      <c r="FD56" s="530"/>
      <c r="FE56" s="530"/>
      <c r="FF56" s="530"/>
      <c r="FG56" s="530"/>
      <c r="FH56" s="530"/>
      <c r="FI56" s="530"/>
      <c r="FJ56" s="530"/>
      <c r="FK56" s="530"/>
      <c r="FL56" s="530"/>
      <c r="FM56" s="530"/>
      <c r="FN56" s="530"/>
      <c r="FO56" s="530"/>
      <c r="FP56" s="530"/>
      <c r="FQ56" s="530"/>
      <c r="FR56" s="530"/>
      <c r="FS56" s="530"/>
      <c r="FT56" s="530"/>
      <c r="FU56" s="530"/>
      <c r="FV56" s="530"/>
      <c r="FW56" s="530"/>
      <c r="FX56" s="530"/>
      <c r="FY56" s="530"/>
      <c r="FZ56" s="530"/>
      <c r="GA56" s="530"/>
      <c r="GB56" s="530"/>
      <c r="GC56" s="530"/>
      <c r="GD56" s="530"/>
      <c r="GE56" s="530"/>
      <c r="GF56" s="530"/>
      <c r="GG56" s="530"/>
      <c r="GH56" s="530"/>
      <c r="GI56" s="530"/>
      <c r="GJ56" s="530"/>
      <c r="GK56" s="530"/>
      <c r="GL56" s="530"/>
      <c r="GM56" s="530"/>
      <c r="GN56" s="530"/>
      <c r="GO56" s="530"/>
      <c r="GP56" s="530"/>
      <c r="GQ56" s="530"/>
      <c r="GR56" s="530"/>
      <c r="GS56" s="530"/>
      <c r="GT56" s="530"/>
      <c r="GU56" s="530"/>
      <c r="GV56" s="530"/>
      <c r="GW56" s="530"/>
      <c r="GX56" s="530"/>
      <c r="GY56" s="530"/>
      <c r="GZ56" s="530"/>
      <c r="HA56" s="530"/>
      <c r="HB56" s="530"/>
      <c r="HC56" s="530"/>
      <c r="HD56" s="530"/>
      <c r="HE56" s="530"/>
      <c r="HF56" s="530"/>
      <c r="HG56" s="530"/>
      <c r="HH56" s="530"/>
      <c r="HI56" s="530"/>
      <c r="HJ56" s="530"/>
      <c r="HK56" s="530"/>
      <c r="HL56" s="530"/>
      <c r="HM56" s="530"/>
      <c r="HN56" s="530"/>
      <c r="HO56" s="530"/>
      <c r="HP56" s="530"/>
      <c r="HQ56" s="530"/>
      <c r="HR56" s="530"/>
      <c r="HS56" s="530"/>
      <c r="HT56" s="530"/>
      <c r="HU56" s="530"/>
      <c r="HV56" s="530"/>
      <c r="HW56" s="530"/>
      <c r="HX56" s="530"/>
      <c r="HY56" s="530"/>
      <c r="HZ56" s="530"/>
      <c r="IA56" s="530"/>
      <c r="IB56" s="530"/>
      <c r="IC56" s="530"/>
      <c r="ID56" s="530"/>
      <c r="IE56" s="530"/>
      <c r="IF56" s="530"/>
      <c r="IG56" s="530"/>
      <c r="IH56" s="530"/>
      <c r="II56" s="530"/>
      <c r="IJ56" s="530"/>
      <c r="IK56" s="530"/>
      <c r="IL56" s="530"/>
      <c r="IM56" s="530"/>
      <c r="IN56" s="530"/>
      <c r="IO56" s="530"/>
      <c r="IP56" s="530"/>
      <c r="IQ56" s="530"/>
      <c r="IR56" s="530"/>
      <c r="IS56" s="530"/>
      <c r="IT56" s="530"/>
    </row>
    <row r="57" spans="1:254" ht="11.1" customHeight="1" x14ac:dyDescent="0.2">
      <c r="A57" s="566" t="s">
        <v>1999</v>
      </c>
      <c r="B57" s="567">
        <f>E54</f>
        <v>1544</v>
      </c>
      <c r="C57" s="568" t="s">
        <v>480</v>
      </c>
      <c r="D57" s="569">
        <f>E49</f>
        <v>1729</v>
      </c>
      <c r="E57" s="570"/>
      <c r="F57" s="570"/>
      <c r="G57" s="571">
        <f t="shared" ref="G57:G66" si="3">(D57+B57)/2*12/52/35</f>
        <v>10.790109890109889</v>
      </c>
      <c r="H57" s="572"/>
      <c r="I57" s="572">
        <f t="shared" ref="I57:I66" si="4">G57*1.5</f>
        <v>16.185164835164834</v>
      </c>
      <c r="J57" s="573">
        <f t="shared" ref="J57:J66" si="5">G57*2</f>
        <v>21.580219780219778</v>
      </c>
      <c r="L57" s="564"/>
      <c r="M57" s="530"/>
      <c r="N57" s="530"/>
      <c r="O57" s="574"/>
      <c r="P57" s="546"/>
      <c r="Q57" s="530"/>
      <c r="R57" s="530"/>
      <c r="S57" s="530"/>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c r="AP57" s="530"/>
      <c r="AQ57" s="530"/>
      <c r="AR57" s="530"/>
      <c r="AS57" s="530"/>
      <c r="AT57" s="530"/>
      <c r="AU57" s="530"/>
      <c r="AV57" s="530"/>
      <c r="AW57" s="530"/>
      <c r="AX57" s="530"/>
      <c r="AY57" s="530"/>
      <c r="AZ57" s="530"/>
      <c r="BA57" s="530"/>
      <c r="BB57" s="530"/>
      <c r="BC57" s="530"/>
      <c r="BD57" s="530"/>
      <c r="BE57" s="530"/>
      <c r="BF57" s="530"/>
      <c r="BG57" s="530"/>
      <c r="BH57" s="530"/>
      <c r="BI57" s="530"/>
      <c r="BJ57" s="530"/>
      <c r="BK57" s="530"/>
      <c r="BL57" s="530"/>
      <c r="BM57" s="530"/>
      <c r="BN57" s="530"/>
      <c r="BO57" s="530"/>
      <c r="BP57" s="530"/>
      <c r="BQ57" s="530"/>
      <c r="BR57" s="530"/>
      <c r="BS57" s="530"/>
      <c r="BT57" s="530"/>
      <c r="BU57" s="530"/>
      <c r="BV57" s="530"/>
      <c r="BW57" s="530"/>
      <c r="BX57" s="530"/>
      <c r="BY57" s="530"/>
      <c r="BZ57" s="530"/>
      <c r="CA57" s="530"/>
      <c r="CB57" s="530"/>
      <c r="CC57" s="530"/>
      <c r="CD57" s="530"/>
      <c r="CE57" s="530"/>
      <c r="CF57" s="530"/>
      <c r="CG57" s="530"/>
      <c r="CH57" s="530"/>
      <c r="CI57" s="530"/>
      <c r="CJ57" s="530"/>
      <c r="CK57" s="530"/>
      <c r="CL57" s="530"/>
      <c r="CM57" s="530"/>
      <c r="CN57" s="530"/>
      <c r="CO57" s="530"/>
      <c r="CP57" s="530"/>
      <c r="CQ57" s="530"/>
      <c r="CR57" s="530"/>
      <c r="CS57" s="530"/>
      <c r="CT57" s="530"/>
      <c r="CU57" s="530"/>
      <c r="CV57" s="530"/>
      <c r="CW57" s="530"/>
      <c r="CX57" s="530"/>
      <c r="CY57" s="530"/>
      <c r="CZ57" s="530"/>
      <c r="DA57" s="530"/>
      <c r="DB57" s="530"/>
      <c r="DC57" s="530"/>
      <c r="DD57" s="530"/>
      <c r="DE57" s="530"/>
      <c r="DF57" s="530"/>
      <c r="DG57" s="530"/>
      <c r="DH57" s="530"/>
      <c r="DI57" s="530"/>
      <c r="DJ57" s="530"/>
      <c r="DK57" s="530"/>
      <c r="DL57" s="530"/>
      <c r="DM57" s="530"/>
      <c r="DN57" s="530"/>
      <c r="DO57" s="530"/>
      <c r="DP57" s="530"/>
      <c r="DQ57" s="530"/>
      <c r="DR57" s="530"/>
      <c r="DS57" s="530"/>
      <c r="DT57" s="530"/>
      <c r="DU57" s="530"/>
      <c r="DV57" s="530"/>
      <c r="DW57" s="530"/>
      <c r="DX57" s="530"/>
      <c r="DY57" s="530"/>
      <c r="DZ57" s="530"/>
      <c r="EA57" s="530"/>
      <c r="EB57" s="530"/>
      <c r="EC57" s="530"/>
      <c r="ED57" s="530"/>
      <c r="EE57" s="530"/>
      <c r="EF57" s="530"/>
      <c r="EG57" s="530"/>
      <c r="EH57" s="530"/>
      <c r="EI57" s="530"/>
      <c r="EJ57" s="530"/>
      <c r="EK57" s="530"/>
      <c r="EL57" s="530"/>
      <c r="EM57" s="530"/>
      <c r="EN57" s="530"/>
      <c r="EO57" s="530"/>
      <c r="EP57" s="530"/>
      <c r="EQ57" s="530"/>
      <c r="ER57" s="530"/>
      <c r="ES57" s="530"/>
      <c r="ET57" s="530"/>
      <c r="EU57" s="530"/>
      <c r="EV57" s="530"/>
      <c r="EW57" s="530"/>
      <c r="EX57" s="530"/>
      <c r="EY57" s="530"/>
      <c r="EZ57" s="530"/>
      <c r="FA57" s="530"/>
      <c r="FB57" s="530"/>
      <c r="FC57" s="530"/>
      <c r="FD57" s="530"/>
      <c r="FE57" s="530"/>
      <c r="FF57" s="530"/>
      <c r="FG57" s="530"/>
      <c r="FH57" s="530"/>
      <c r="FI57" s="530"/>
      <c r="FJ57" s="530"/>
      <c r="FK57" s="530"/>
      <c r="FL57" s="530"/>
      <c r="FM57" s="530"/>
      <c r="FN57" s="530"/>
      <c r="FO57" s="530"/>
      <c r="FP57" s="530"/>
      <c r="FQ57" s="530"/>
      <c r="FR57" s="530"/>
      <c r="FS57" s="530"/>
      <c r="FT57" s="530"/>
      <c r="FU57" s="530"/>
      <c r="FV57" s="530"/>
      <c r="FW57" s="530"/>
      <c r="FX57" s="530"/>
      <c r="FY57" s="530"/>
      <c r="FZ57" s="530"/>
      <c r="GA57" s="530"/>
      <c r="GB57" s="530"/>
      <c r="GC57" s="530"/>
      <c r="GD57" s="530"/>
      <c r="GE57" s="530"/>
      <c r="GF57" s="530"/>
      <c r="GG57" s="530"/>
      <c r="GH57" s="530"/>
      <c r="GI57" s="530"/>
      <c r="GJ57" s="530"/>
      <c r="GK57" s="530"/>
      <c r="GL57" s="530"/>
      <c r="GM57" s="530"/>
      <c r="GN57" s="530"/>
      <c r="GO57" s="530"/>
      <c r="GP57" s="530"/>
      <c r="GQ57" s="530"/>
      <c r="GR57" s="530"/>
      <c r="GS57" s="530"/>
      <c r="GT57" s="530"/>
      <c r="GU57" s="530"/>
      <c r="GV57" s="530"/>
      <c r="GW57" s="530"/>
      <c r="GX57" s="530"/>
      <c r="GY57" s="530"/>
      <c r="GZ57" s="530"/>
      <c r="HA57" s="530"/>
      <c r="HB57" s="530"/>
      <c r="HC57" s="530"/>
      <c r="HD57" s="530"/>
      <c r="HE57" s="530"/>
      <c r="HF57" s="530"/>
      <c r="HG57" s="530"/>
      <c r="HH57" s="530"/>
      <c r="HI57" s="530"/>
      <c r="HJ57" s="530"/>
      <c r="HK57" s="530"/>
      <c r="HL57" s="530"/>
      <c r="HM57" s="530"/>
      <c r="HN57" s="530"/>
      <c r="HO57" s="530"/>
      <c r="HP57" s="530"/>
      <c r="HQ57" s="530"/>
      <c r="HR57" s="530"/>
      <c r="HS57" s="530"/>
      <c r="HT57" s="530"/>
      <c r="HU57" s="530"/>
      <c r="HV57" s="530"/>
      <c r="HW57" s="530"/>
      <c r="HX57" s="530"/>
      <c r="HY57" s="530"/>
      <c r="HZ57" s="530"/>
      <c r="IA57" s="530"/>
      <c r="IB57" s="530"/>
      <c r="IC57" s="530"/>
      <c r="ID57" s="530"/>
      <c r="IE57" s="530"/>
      <c r="IF57" s="530"/>
      <c r="IG57" s="530"/>
      <c r="IH57" s="530"/>
      <c r="II57" s="530"/>
      <c r="IJ57" s="530"/>
      <c r="IK57" s="530"/>
      <c r="IL57" s="530"/>
      <c r="IM57" s="530"/>
      <c r="IN57" s="530"/>
      <c r="IO57" s="530"/>
      <c r="IP57" s="530"/>
      <c r="IQ57" s="530"/>
      <c r="IR57" s="530"/>
      <c r="IS57" s="530"/>
      <c r="IT57" s="530"/>
    </row>
    <row r="58" spans="1:254" ht="11.1" customHeight="1" x14ac:dyDescent="0.2">
      <c r="A58" s="575" t="s">
        <v>2000</v>
      </c>
      <c r="B58" s="576">
        <f>E48</f>
        <v>1788</v>
      </c>
      <c r="C58" s="577" t="s">
        <v>480</v>
      </c>
      <c r="D58" s="578">
        <f>E45</f>
        <v>1965</v>
      </c>
      <c r="E58" s="579"/>
      <c r="F58" s="579"/>
      <c r="G58" s="580">
        <f t="shared" si="3"/>
        <v>12.372527472527473</v>
      </c>
      <c r="H58" s="581"/>
      <c r="I58" s="581">
        <f t="shared" si="4"/>
        <v>18.558791208791209</v>
      </c>
      <c r="J58" s="582">
        <f t="shared" si="5"/>
        <v>24.745054945054946</v>
      </c>
      <c r="L58" s="564"/>
      <c r="M58" s="530"/>
      <c r="N58" s="530"/>
      <c r="O58" s="574"/>
      <c r="P58" s="583"/>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c r="AP58" s="530"/>
      <c r="AQ58" s="530"/>
      <c r="AR58" s="530"/>
      <c r="AS58" s="530"/>
      <c r="AT58" s="530"/>
      <c r="AU58" s="530"/>
      <c r="AV58" s="530"/>
      <c r="AW58" s="530"/>
      <c r="AX58" s="530"/>
      <c r="AY58" s="530"/>
      <c r="AZ58" s="530"/>
      <c r="BA58" s="530"/>
      <c r="BB58" s="530"/>
      <c r="BC58" s="530"/>
      <c r="BD58" s="530"/>
      <c r="BE58" s="530"/>
      <c r="BF58" s="530"/>
      <c r="BG58" s="530"/>
      <c r="BH58" s="530"/>
      <c r="BI58" s="530"/>
      <c r="BJ58" s="530"/>
      <c r="BK58" s="530"/>
      <c r="BL58" s="530"/>
      <c r="BM58" s="530"/>
      <c r="BN58" s="530"/>
      <c r="BO58" s="530"/>
      <c r="BP58" s="530"/>
      <c r="BQ58" s="530"/>
      <c r="BR58" s="530"/>
      <c r="BS58" s="530"/>
      <c r="BT58" s="530"/>
      <c r="BU58" s="530"/>
      <c r="BV58" s="530"/>
      <c r="BW58" s="530"/>
      <c r="BX58" s="530"/>
      <c r="BY58" s="530"/>
      <c r="BZ58" s="530"/>
      <c r="CA58" s="530"/>
      <c r="CB58" s="530"/>
      <c r="CC58" s="530"/>
      <c r="CD58" s="530"/>
      <c r="CE58" s="530"/>
      <c r="CF58" s="530"/>
      <c r="CG58" s="530"/>
      <c r="CH58" s="530"/>
      <c r="CI58" s="530"/>
      <c r="CJ58" s="530"/>
      <c r="CK58" s="530"/>
      <c r="CL58" s="530"/>
      <c r="CM58" s="530"/>
      <c r="CN58" s="530"/>
      <c r="CO58" s="530"/>
      <c r="CP58" s="530"/>
      <c r="CQ58" s="530"/>
      <c r="CR58" s="530"/>
      <c r="CS58" s="530"/>
      <c r="CT58" s="530"/>
      <c r="CU58" s="530"/>
      <c r="CV58" s="530"/>
      <c r="CW58" s="530"/>
      <c r="CX58" s="530"/>
      <c r="CY58" s="530"/>
      <c r="CZ58" s="530"/>
      <c r="DA58" s="530"/>
      <c r="DB58" s="530"/>
      <c r="DC58" s="530"/>
      <c r="DD58" s="530"/>
      <c r="DE58" s="530"/>
      <c r="DF58" s="530"/>
      <c r="DG58" s="530"/>
      <c r="DH58" s="530"/>
      <c r="DI58" s="530"/>
      <c r="DJ58" s="530"/>
      <c r="DK58" s="530"/>
      <c r="DL58" s="530"/>
      <c r="DM58" s="530"/>
      <c r="DN58" s="530"/>
      <c r="DO58" s="530"/>
      <c r="DP58" s="530"/>
      <c r="DQ58" s="530"/>
      <c r="DR58" s="530"/>
      <c r="DS58" s="530"/>
      <c r="DT58" s="530"/>
      <c r="DU58" s="530"/>
      <c r="DV58" s="530"/>
      <c r="DW58" s="530"/>
      <c r="DX58" s="530"/>
      <c r="DY58" s="530"/>
      <c r="DZ58" s="530"/>
      <c r="EA58" s="530"/>
      <c r="EB58" s="530"/>
      <c r="EC58" s="530"/>
      <c r="ED58" s="530"/>
      <c r="EE58" s="530"/>
      <c r="EF58" s="530"/>
      <c r="EG58" s="530"/>
      <c r="EH58" s="530"/>
      <c r="EI58" s="530"/>
      <c r="EJ58" s="530"/>
      <c r="EK58" s="530"/>
      <c r="EL58" s="530"/>
      <c r="EM58" s="530"/>
      <c r="EN58" s="530"/>
      <c r="EO58" s="530"/>
      <c r="EP58" s="530"/>
      <c r="EQ58" s="530"/>
      <c r="ER58" s="530"/>
      <c r="ES58" s="530"/>
      <c r="ET58" s="530"/>
      <c r="EU58" s="530"/>
      <c r="EV58" s="530"/>
      <c r="EW58" s="530"/>
      <c r="EX58" s="530"/>
      <c r="EY58" s="530"/>
      <c r="EZ58" s="530"/>
      <c r="FA58" s="530"/>
      <c r="FB58" s="530"/>
      <c r="FC58" s="530"/>
      <c r="FD58" s="530"/>
      <c r="FE58" s="530"/>
      <c r="FF58" s="530"/>
      <c r="FG58" s="530"/>
      <c r="FH58" s="530"/>
      <c r="FI58" s="530"/>
      <c r="FJ58" s="530"/>
      <c r="FK58" s="530"/>
      <c r="FL58" s="530"/>
      <c r="FM58" s="530"/>
      <c r="FN58" s="530"/>
      <c r="FO58" s="530"/>
      <c r="FP58" s="530"/>
      <c r="FQ58" s="530"/>
      <c r="FR58" s="530"/>
      <c r="FS58" s="530"/>
      <c r="FT58" s="530"/>
      <c r="FU58" s="530"/>
      <c r="FV58" s="530"/>
      <c r="FW58" s="530"/>
      <c r="FX58" s="530"/>
      <c r="FY58" s="530"/>
      <c r="FZ58" s="530"/>
      <c r="GA58" s="530"/>
      <c r="GB58" s="530"/>
      <c r="GC58" s="530"/>
      <c r="GD58" s="530"/>
      <c r="GE58" s="530"/>
      <c r="GF58" s="530"/>
      <c r="GG58" s="530"/>
      <c r="GH58" s="530"/>
      <c r="GI58" s="530"/>
      <c r="GJ58" s="530"/>
      <c r="GK58" s="530"/>
      <c r="GL58" s="530"/>
      <c r="GM58" s="530"/>
      <c r="GN58" s="530"/>
      <c r="GO58" s="530"/>
      <c r="GP58" s="530"/>
      <c r="GQ58" s="530"/>
      <c r="GR58" s="530"/>
      <c r="GS58" s="530"/>
      <c r="GT58" s="530"/>
      <c r="GU58" s="530"/>
      <c r="GV58" s="530"/>
      <c r="GW58" s="530"/>
      <c r="GX58" s="530"/>
      <c r="GY58" s="530"/>
      <c r="GZ58" s="530"/>
      <c r="HA58" s="530"/>
      <c r="HB58" s="530"/>
      <c r="HC58" s="530"/>
      <c r="HD58" s="530"/>
      <c r="HE58" s="530"/>
      <c r="HF58" s="530"/>
      <c r="HG58" s="530"/>
      <c r="HH58" s="530"/>
      <c r="HI58" s="530"/>
      <c r="HJ58" s="530"/>
      <c r="HK58" s="530"/>
      <c r="HL58" s="530"/>
      <c r="HM58" s="530"/>
      <c r="HN58" s="530"/>
      <c r="HO58" s="530"/>
      <c r="HP58" s="530"/>
      <c r="HQ58" s="530"/>
      <c r="HR58" s="530"/>
      <c r="HS58" s="530"/>
      <c r="HT58" s="530"/>
      <c r="HU58" s="530"/>
      <c r="HV58" s="530"/>
      <c r="HW58" s="530"/>
      <c r="HX58" s="530"/>
      <c r="HY58" s="530"/>
      <c r="HZ58" s="530"/>
      <c r="IA58" s="530"/>
      <c r="IB58" s="530"/>
      <c r="IC58" s="530"/>
      <c r="ID58" s="530"/>
      <c r="IE58" s="530"/>
      <c r="IF58" s="530"/>
      <c r="IG58" s="530"/>
      <c r="IH58" s="530"/>
      <c r="II58" s="530"/>
      <c r="IJ58" s="530"/>
      <c r="IK58" s="530"/>
      <c r="IL58" s="530"/>
      <c r="IM58" s="530"/>
      <c r="IN58" s="530"/>
      <c r="IO58" s="530"/>
      <c r="IP58" s="530"/>
      <c r="IQ58" s="530"/>
      <c r="IR58" s="530"/>
      <c r="IS58" s="530"/>
      <c r="IT58" s="530"/>
    </row>
    <row r="59" spans="1:254" ht="11.1" customHeight="1" x14ac:dyDescent="0.2">
      <c r="A59" s="575" t="s">
        <v>2001</v>
      </c>
      <c r="B59" s="576">
        <f>E44</f>
        <v>2024</v>
      </c>
      <c r="C59" s="577" t="s">
        <v>480</v>
      </c>
      <c r="D59" s="578">
        <f>E41</f>
        <v>2283</v>
      </c>
      <c r="E59" s="579"/>
      <c r="F59" s="579"/>
      <c r="G59" s="580">
        <f t="shared" si="3"/>
        <v>14.198901098901098</v>
      </c>
      <c r="H59" s="581"/>
      <c r="I59" s="581">
        <f t="shared" si="4"/>
        <v>21.298351648351648</v>
      </c>
      <c r="J59" s="582">
        <f t="shared" si="5"/>
        <v>28.397802197802196</v>
      </c>
      <c r="L59" s="564"/>
      <c r="M59" s="530"/>
      <c r="N59" s="530"/>
      <c r="O59" s="574"/>
      <c r="P59" s="530"/>
      <c r="Q59" s="530"/>
      <c r="R59" s="530"/>
      <c r="S59" s="530"/>
      <c r="T59" s="530"/>
      <c r="U59" s="530"/>
      <c r="V59" s="530"/>
      <c r="W59" s="530"/>
      <c r="X59" s="530"/>
      <c r="Y59" s="530"/>
      <c r="Z59" s="530"/>
      <c r="AA59" s="530"/>
      <c r="AB59" s="530"/>
      <c r="AC59" s="530"/>
      <c r="AD59" s="530"/>
      <c r="AE59" s="530"/>
      <c r="AF59" s="530"/>
      <c r="AG59" s="530"/>
      <c r="AH59" s="530"/>
      <c r="AI59" s="530"/>
      <c r="AJ59" s="530"/>
      <c r="AK59" s="530"/>
      <c r="AL59" s="530"/>
      <c r="AM59" s="530"/>
      <c r="AN59" s="530"/>
      <c r="AO59" s="530"/>
      <c r="AP59" s="530"/>
      <c r="AQ59" s="530"/>
      <c r="AR59" s="530"/>
      <c r="AS59" s="530"/>
      <c r="AT59" s="530"/>
      <c r="AU59" s="530"/>
      <c r="AV59" s="530"/>
      <c r="AW59" s="530"/>
      <c r="AX59" s="530"/>
      <c r="AY59" s="530"/>
      <c r="AZ59" s="530"/>
      <c r="BA59" s="530"/>
      <c r="BB59" s="530"/>
      <c r="BC59" s="530"/>
      <c r="BD59" s="530"/>
      <c r="BE59" s="530"/>
      <c r="BF59" s="530"/>
      <c r="BG59" s="530"/>
      <c r="BH59" s="530"/>
      <c r="BI59" s="530"/>
      <c r="BJ59" s="530"/>
      <c r="BK59" s="530"/>
      <c r="BL59" s="530"/>
      <c r="BM59" s="530"/>
      <c r="BN59" s="530"/>
      <c r="BO59" s="530"/>
      <c r="BP59" s="530"/>
      <c r="BQ59" s="530"/>
      <c r="BR59" s="530"/>
      <c r="BS59" s="530"/>
      <c r="BT59" s="530"/>
      <c r="BU59" s="530"/>
      <c r="BV59" s="530"/>
      <c r="BW59" s="530"/>
      <c r="BX59" s="530"/>
      <c r="BY59" s="530"/>
      <c r="BZ59" s="530"/>
      <c r="CA59" s="530"/>
      <c r="CB59" s="530"/>
      <c r="CC59" s="530"/>
      <c r="CD59" s="530"/>
      <c r="CE59" s="530"/>
      <c r="CF59" s="530"/>
      <c r="CG59" s="530"/>
      <c r="CH59" s="530"/>
      <c r="CI59" s="530"/>
      <c r="CJ59" s="530"/>
      <c r="CK59" s="530"/>
      <c r="CL59" s="530"/>
      <c r="CM59" s="530"/>
      <c r="CN59" s="530"/>
      <c r="CO59" s="530"/>
      <c r="CP59" s="530"/>
      <c r="CQ59" s="530"/>
      <c r="CR59" s="530"/>
      <c r="CS59" s="530"/>
      <c r="CT59" s="530"/>
      <c r="CU59" s="530"/>
      <c r="CV59" s="530"/>
      <c r="CW59" s="530"/>
      <c r="CX59" s="530"/>
      <c r="CY59" s="530"/>
      <c r="CZ59" s="530"/>
      <c r="DA59" s="530"/>
      <c r="DB59" s="530"/>
      <c r="DC59" s="530"/>
      <c r="DD59" s="530"/>
      <c r="DE59" s="530"/>
      <c r="DF59" s="530"/>
      <c r="DG59" s="530"/>
      <c r="DH59" s="530"/>
      <c r="DI59" s="530"/>
      <c r="DJ59" s="530"/>
      <c r="DK59" s="530"/>
      <c r="DL59" s="530"/>
      <c r="DM59" s="530"/>
      <c r="DN59" s="530"/>
      <c r="DO59" s="530"/>
      <c r="DP59" s="530"/>
      <c r="DQ59" s="530"/>
      <c r="DR59" s="530"/>
      <c r="DS59" s="530"/>
      <c r="DT59" s="530"/>
      <c r="DU59" s="530"/>
      <c r="DV59" s="530"/>
      <c r="DW59" s="530"/>
      <c r="DX59" s="530"/>
      <c r="DY59" s="530"/>
      <c r="DZ59" s="530"/>
      <c r="EA59" s="530"/>
      <c r="EB59" s="530"/>
      <c r="EC59" s="530"/>
      <c r="ED59" s="530"/>
      <c r="EE59" s="530"/>
      <c r="EF59" s="530"/>
      <c r="EG59" s="530"/>
      <c r="EH59" s="530"/>
      <c r="EI59" s="530"/>
      <c r="EJ59" s="530"/>
      <c r="EK59" s="530"/>
      <c r="EL59" s="530"/>
      <c r="EM59" s="530"/>
      <c r="EN59" s="530"/>
      <c r="EO59" s="530"/>
      <c r="EP59" s="530"/>
      <c r="EQ59" s="530"/>
      <c r="ER59" s="530"/>
      <c r="ES59" s="530"/>
      <c r="ET59" s="530"/>
      <c r="EU59" s="530"/>
      <c r="EV59" s="530"/>
      <c r="EW59" s="530"/>
      <c r="EX59" s="530"/>
      <c r="EY59" s="530"/>
      <c r="EZ59" s="530"/>
      <c r="FA59" s="530"/>
      <c r="FB59" s="530"/>
      <c r="FC59" s="530"/>
      <c r="FD59" s="530"/>
      <c r="FE59" s="530"/>
      <c r="FF59" s="530"/>
      <c r="FG59" s="530"/>
      <c r="FH59" s="530"/>
      <c r="FI59" s="530"/>
      <c r="FJ59" s="530"/>
      <c r="FK59" s="530"/>
      <c r="FL59" s="530"/>
      <c r="FM59" s="530"/>
      <c r="FN59" s="530"/>
      <c r="FO59" s="530"/>
      <c r="FP59" s="530"/>
      <c r="FQ59" s="530"/>
      <c r="FR59" s="530"/>
      <c r="FS59" s="530"/>
      <c r="FT59" s="530"/>
      <c r="FU59" s="530"/>
      <c r="FV59" s="530"/>
      <c r="FW59" s="530"/>
      <c r="FX59" s="530"/>
      <c r="FY59" s="530"/>
      <c r="FZ59" s="530"/>
      <c r="GA59" s="530"/>
      <c r="GB59" s="530"/>
      <c r="GC59" s="530"/>
      <c r="GD59" s="530"/>
      <c r="GE59" s="530"/>
      <c r="GF59" s="530"/>
      <c r="GG59" s="530"/>
      <c r="GH59" s="530"/>
      <c r="GI59" s="530"/>
      <c r="GJ59" s="530"/>
      <c r="GK59" s="530"/>
      <c r="GL59" s="530"/>
      <c r="GM59" s="530"/>
      <c r="GN59" s="530"/>
      <c r="GO59" s="530"/>
      <c r="GP59" s="530"/>
      <c r="GQ59" s="530"/>
      <c r="GR59" s="530"/>
      <c r="GS59" s="530"/>
      <c r="GT59" s="530"/>
      <c r="GU59" s="530"/>
      <c r="GV59" s="530"/>
      <c r="GW59" s="530"/>
      <c r="GX59" s="530"/>
      <c r="GY59" s="530"/>
      <c r="GZ59" s="530"/>
      <c r="HA59" s="530"/>
      <c r="HB59" s="530"/>
      <c r="HC59" s="530"/>
      <c r="HD59" s="530"/>
      <c r="HE59" s="530"/>
      <c r="HF59" s="530"/>
      <c r="HG59" s="530"/>
      <c r="HH59" s="530"/>
      <c r="HI59" s="530"/>
      <c r="HJ59" s="530"/>
      <c r="HK59" s="530"/>
      <c r="HL59" s="530"/>
      <c r="HM59" s="530"/>
      <c r="HN59" s="530"/>
      <c r="HO59" s="530"/>
      <c r="HP59" s="530"/>
      <c r="HQ59" s="530"/>
      <c r="HR59" s="530"/>
      <c r="HS59" s="530"/>
      <c r="HT59" s="530"/>
      <c r="HU59" s="530"/>
      <c r="HV59" s="530"/>
      <c r="HW59" s="530"/>
      <c r="HX59" s="530"/>
      <c r="HY59" s="530"/>
      <c r="HZ59" s="530"/>
      <c r="IA59" s="530"/>
      <c r="IB59" s="530"/>
      <c r="IC59" s="530"/>
      <c r="ID59" s="530"/>
      <c r="IE59" s="530"/>
      <c r="IF59" s="530"/>
      <c r="IG59" s="530"/>
      <c r="IH59" s="530"/>
      <c r="II59" s="530"/>
      <c r="IJ59" s="530"/>
      <c r="IK59" s="530"/>
      <c r="IL59" s="530"/>
      <c r="IM59" s="530"/>
      <c r="IN59" s="530"/>
      <c r="IO59" s="530"/>
      <c r="IP59" s="530"/>
      <c r="IQ59" s="530"/>
      <c r="IR59" s="530"/>
      <c r="IS59" s="530"/>
      <c r="IT59" s="530"/>
    </row>
    <row r="60" spans="1:254" ht="11.1" customHeight="1" x14ac:dyDescent="0.2">
      <c r="A60" s="575" t="s">
        <v>2002</v>
      </c>
      <c r="B60" s="576">
        <f>E40</f>
        <v>2383</v>
      </c>
      <c r="C60" s="577" t="s">
        <v>480</v>
      </c>
      <c r="D60" s="578">
        <f>E37</f>
        <v>2683</v>
      </c>
      <c r="E60" s="579"/>
      <c r="F60" s="579"/>
      <c r="G60" s="580">
        <f t="shared" si="3"/>
        <v>16.701098901098902</v>
      </c>
      <c r="H60" s="581"/>
      <c r="I60" s="581">
        <f t="shared" si="4"/>
        <v>25.051648351648353</v>
      </c>
      <c r="J60" s="582">
        <f t="shared" si="5"/>
        <v>33.402197802197804</v>
      </c>
      <c r="L60" s="564"/>
      <c r="M60" s="530"/>
      <c r="N60" s="530"/>
      <c r="O60" s="574"/>
      <c r="P60" s="530"/>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c r="AP60" s="530"/>
      <c r="AQ60" s="530"/>
      <c r="AR60" s="530"/>
      <c r="AS60" s="530"/>
      <c r="AT60" s="530"/>
      <c r="AU60" s="530"/>
      <c r="AV60" s="530"/>
      <c r="AW60" s="530"/>
      <c r="AX60" s="530"/>
      <c r="AY60" s="530"/>
      <c r="AZ60" s="530"/>
      <c r="BA60" s="530"/>
      <c r="BB60" s="530"/>
      <c r="BC60" s="530"/>
      <c r="BD60" s="530"/>
      <c r="BE60" s="530"/>
      <c r="BF60" s="530"/>
      <c r="BG60" s="530"/>
      <c r="BH60" s="530"/>
      <c r="BI60" s="530"/>
      <c r="BJ60" s="530"/>
      <c r="BK60" s="530"/>
      <c r="BL60" s="530"/>
      <c r="BM60" s="530"/>
      <c r="BN60" s="530"/>
      <c r="BO60" s="530"/>
      <c r="BP60" s="530"/>
      <c r="BQ60" s="530"/>
      <c r="BR60" s="530"/>
      <c r="BS60" s="530"/>
      <c r="BT60" s="530"/>
      <c r="BU60" s="530"/>
      <c r="BV60" s="530"/>
      <c r="BW60" s="530"/>
      <c r="BX60" s="530"/>
      <c r="BY60" s="530"/>
      <c r="BZ60" s="530"/>
      <c r="CA60" s="530"/>
      <c r="CB60" s="530"/>
      <c r="CC60" s="530"/>
      <c r="CD60" s="530"/>
      <c r="CE60" s="530"/>
      <c r="CF60" s="530"/>
      <c r="CG60" s="530"/>
      <c r="CH60" s="530"/>
      <c r="CI60" s="530"/>
      <c r="CJ60" s="530"/>
      <c r="CK60" s="530"/>
      <c r="CL60" s="530"/>
      <c r="CM60" s="530"/>
      <c r="CN60" s="530"/>
      <c r="CO60" s="530"/>
      <c r="CP60" s="530"/>
      <c r="CQ60" s="530"/>
      <c r="CR60" s="530"/>
      <c r="CS60" s="530"/>
      <c r="CT60" s="530"/>
      <c r="CU60" s="530"/>
      <c r="CV60" s="530"/>
      <c r="CW60" s="530"/>
      <c r="CX60" s="530"/>
      <c r="CY60" s="530"/>
      <c r="CZ60" s="530"/>
      <c r="DA60" s="530"/>
      <c r="DB60" s="530"/>
      <c r="DC60" s="530"/>
      <c r="DD60" s="530"/>
      <c r="DE60" s="530"/>
      <c r="DF60" s="530"/>
      <c r="DG60" s="530"/>
      <c r="DH60" s="530"/>
      <c r="DI60" s="530"/>
      <c r="DJ60" s="530"/>
      <c r="DK60" s="530"/>
      <c r="DL60" s="530"/>
      <c r="DM60" s="530"/>
      <c r="DN60" s="530"/>
      <c r="DO60" s="530"/>
      <c r="DP60" s="530"/>
      <c r="DQ60" s="530"/>
      <c r="DR60" s="530"/>
      <c r="DS60" s="530"/>
      <c r="DT60" s="530"/>
      <c r="DU60" s="530"/>
      <c r="DV60" s="530"/>
      <c r="DW60" s="530"/>
      <c r="DX60" s="530"/>
      <c r="DY60" s="530"/>
      <c r="DZ60" s="530"/>
      <c r="EA60" s="530"/>
      <c r="EB60" s="530"/>
      <c r="EC60" s="530"/>
      <c r="ED60" s="530"/>
      <c r="EE60" s="530"/>
      <c r="EF60" s="530"/>
      <c r="EG60" s="530"/>
      <c r="EH60" s="530"/>
      <c r="EI60" s="530"/>
      <c r="EJ60" s="530"/>
      <c r="EK60" s="530"/>
      <c r="EL60" s="530"/>
      <c r="EM60" s="530"/>
      <c r="EN60" s="530"/>
      <c r="EO60" s="530"/>
      <c r="EP60" s="530"/>
      <c r="EQ60" s="530"/>
      <c r="ER60" s="530"/>
      <c r="ES60" s="530"/>
      <c r="ET60" s="530"/>
      <c r="EU60" s="530"/>
      <c r="EV60" s="530"/>
      <c r="EW60" s="530"/>
      <c r="EX60" s="530"/>
      <c r="EY60" s="530"/>
      <c r="EZ60" s="530"/>
      <c r="FA60" s="530"/>
      <c r="FB60" s="530"/>
      <c r="FC60" s="530"/>
      <c r="FD60" s="530"/>
      <c r="FE60" s="530"/>
      <c r="FF60" s="530"/>
      <c r="FG60" s="530"/>
      <c r="FH60" s="530"/>
      <c r="FI60" s="530"/>
      <c r="FJ60" s="530"/>
      <c r="FK60" s="530"/>
      <c r="FL60" s="530"/>
      <c r="FM60" s="530"/>
      <c r="FN60" s="530"/>
      <c r="FO60" s="530"/>
      <c r="FP60" s="530"/>
      <c r="FQ60" s="530"/>
      <c r="FR60" s="530"/>
      <c r="FS60" s="530"/>
      <c r="FT60" s="530"/>
      <c r="FU60" s="530"/>
      <c r="FV60" s="530"/>
      <c r="FW60" s="530"/>
      <c r="FX60" s="530"/>
      <c r="FY60" s="530"/>
      <c r="FZ60" s="530"/>
      <c r="GA60" s="530"/>
      <c r="GB60" s="530"/>
      <c r="GC60" s="530"/>
      <c r="GD60" s="530"/>
      <c r="GE60" s="530"/>
      <c r="GF60" s="530"/>
      <c r="GG60" s="530"/>
      <c r="GH60" s="530"/>
      <c r="GI60" s="530"/>
      <c r="GJ60" s="530"/>
      <c r="GK60" s="530"/>
      <c r="GL60" s="530"/>
      <c r="GM60" s="530"/>
      <c r="GN60" s="530"/>
      <c r="GO60" s="530"/>
      <c r="GP60" s="530"/>
      <c r="GQ60" s="530"/>
      <c r="GR60" s="530"/>
      <c r="GS60" s="530"/>
      <c r="GT60" s="530"/>
      <c r="GU60" s="530"/>
      <c r="GV60" s="530"/>
      <c r="GW60" s="530"/>
      <c r="GX60" s="530"/>
      <c r="GY60" s="530"/>
      <c r="GZ60" s="530"/>
      <c r="HA60" s="530"/>
      <c r="HB60" s="530"/>
      <c r="HC60" s="530"/>
      <c r="HD60" s="530"/>
      <c r="HE60" s="530"/>
      <c r="HF60" s="530"/>
      <c r="HG60" s="530"/>
      <c r="HH60" s="530"/>
      <c r="HI60" s="530"/>
      <c r="HJ60" s="530"/>
      <c r="HK60" s="530"/>
      <c r="HL60" s="530"/>
      <c r="HM60" s="530"/>
      <c r="HN60" s="530"/>
      <c r="HO60" s="530"/>
      <c r="HP60" s="530"/>
      <c r="HQ60" s="530"/>
      <c r="HR60" s="530"/>
      <c r="HS60" s="530"/>
      <c r="HT60" s="530"/>
      <c r="HU60" s="530"/>
      <c r="HV60" s="530"/>
      <c r="HW60" s="530"/>
      <c r="HX60" s="530"/>
      <c r="HY60" s="530"/>
      <c r="HZ60" s="530"/>
      <c r="IA60" s="530"/>
      <c r="IB60" s="530"/>
      <c r="IC60" s="530"/>
      <c r="ID60" s="530"/>
      <c r="IE60" s="530"/>
      <c r="IF60" s="530"/>
      <c r="IG60" s="530"/>
      <c r="IH60" s="530"/>
      <c r="II60" s="530"/>
      <c r="IJ60" s="530"/>
      <c r="IK60" s="530"/>
      <c r="IL60" s="530"/>
      <c r="IM60" s="530"/>
      <c r="IN60" s="530"/>
      <c r="IO60" s="530"/>
      <c r="IP60" s="530"/>
      <c r="IQ60" s="530"/>
      <c r="IR60" s="530"/>
      <c r="IS60" s="530"/>
      <c r="IT60" s="530"/>
    </row>
    <row r="61" spans="1:254" ht="11.1" customHeight="1" x14ac:dyDescent="0.2">
      <c r="A61" s="575" t="s">
        <v>2003</v>
      </c>
      <c r="B61" s="576">
        <f>E36</f>
        <v>2792</v>
      </c>
      <c r="C61" s="577" t="s">
        <v>480</v>
      </c>
      <c r="D61" s="578">
        <f>E33</f>
        <v>3119</v>
      </c>
      <c r="E61" s="579"/>
      <c r="F61" s="579"/>
      <c r="G61" s="580">
        <f t="shared" si="3"/>
        <v>19.486813186813187</v>
      </c>
      <c r="H61" s="581"/>
      <c r="I61" s="581">
        <f t="shared" si="4"/>
        <v>29.23021978021978</v>
      </c>
      <c r="J61" s="582">
        <f t="shared" si="5"/>
        <v>38.973626373626374</v>
      </c>
      <c r="L61" s="564"/>
      <c r="M61" s="530"/>
      <c r="N61" s="530"/>
      <c r="O61" s="574"/>
      <c r="P61" s="530"/>
      <c r="Q61" s="530"/>
      <c r="R61" s="530"/>
      <c r="S61" s="530"/>
      <c r="T61" s="530"/>
      <c r="U61" s="530"/>
      <c r="V61" s="530"/>
      <c r="W61" s="530"/>
      <c r="X61" s="530"/>
      <c r="Y61" s="530"/>
      <c r="Z61" s="530"/>
      <c r="AA61" s="530"/>
      <c r="AB61" s="530"/>
      <c r="AC61" s="530"/>
      <c r="AD61" s="530"/>
      <c r="AE61" s="530"/>
      <c r="AF61" s="530"/>
      <c r="AG61" s="530"/>
      <c r="AH61" s="530"/>
      <c r="AI61" s="530"/>
      <c r="AJ61" s="530"/>
      <c r="AK61" s="530"/>
      <c r="AL61" s="530"/>
      <c r="AM61" s="530"/>
      <c r="AN61" s="530"/>
      <c r="AO61" s="530"/>
      <c r="AP61" s="530"/>
      <c r="AQ61" s="530"/>
      <c r="AR61" s="530"/>
      <c r="AS61" s="530"/>
      <c r="AT61" s="530"/>
      <c r="AU61" s="530"/>
      <c r="AV61" s="530"/>
      <c r="AW61" s="530"/>
      <c r="AX61" s="530"/>
      <c r="AY61" s="530"/>
      <c r="AZ61" s="530"/>
      <c r="BA61" s="530"/>
      <c r="BB61" s="530"/>
      <c r="BC61" s="530"/>
      <c r="BD61" s="530"/>
      <c r="BE61" s="530"/>
      <c r="BF61" s="530"/>
      <c r="BG61" s="530"/>
      <c r="BH61" s="530"/>
      <c r="BI61" s="530"/>
      <c r="BJ61" s="530"/>
      <c r="BK61" s="530"/>
      <c r="BL61" s="530"/>
      <c r="BM61" s="530"/>
      <c r="BN61" s="530"/>
      <c r="BO61" s="530"/>
      <c r="BP61" s="530"/>
      <c r="BQ61" s="530"/>
      <c r="BR61" s="530"/>
      <c r="BS61" s="530"/>
      <c r="BT61" s="530"/>
      <c r="BU61" s="530"/>
      <c r="BV61" s="530"/>
      <c r="BW61" s="530"/>
      <c r="BX61" s="530"/>
      <c r="BY61" s="530"/>
      <c r="BZ61" s="530"/>
      <c r="CA61" s="530"/>
      <c r="CB61" s="530"/>
      <c r="CC61" s="530"/>
      <c r="CD61" s="530"/>
      <c r="CE61" s="530"/>
      <c r="CF61" s="530"/>
      <c r="CG61" s="530"/>
      <c r="CH61" s="530"/>
      <c r="CI61" s="530"/>
      <c r="CJ61" s="530"/>
      <c r="CK61" s="530"/>
      <c r="CL61" s="530"/>
      <c r="CM61" s="530"/>
      <c r="CN61" s="530"/>
      <c r="CO61" s="530"/>
      <c r="CP61" s="530"/>
      <c r="CQ61" s="530"/>
      <c r="CR61" s="530"/>
      <c r="CS61" s="530"/>
      <c r="CT61" s="530"/>
      <c r="CU61" s="530"/>
      <c r="CV61" s="530"/>
      <c r="CW61" s="530"/>
      <c r="CX61" s="530"/>
      <c r="CY61" s="530"/>
      <c r="CZ61" s="530"/>
      <c r="DA61" s="530"/>
      <c r="DB61" s="530"/>
      <c r="DC61" s="530"/>
      <c r="DD61" s="530"/>
      <c r="DE61" s="530"/>
      <c r="DF61" s="530"/>
      <c r="DG61" s="530"/>
      <c r="DH61" s="530"/>
      <c r="DI61" s="530"/>
      <c r="DJ61" s="530"/>
      <c r="DK61" s="530"/>
      <c r="DL61" s="530"/>
      <c r="DM61" s="530"/>
      <c r="DN61" s="530"/>
      <c r="DO61" s="530"/>
      <c r="DP61" s="530"/>
      <c r="DQ61" s="530"/>
      <c r="DR61" s="530"/>
      <c r="DS61" s="530"/>
      <c r="DT61" s="530"/>
      <c r="DU61" s="530"/>
      <c r="DV61" s="530"/>
      <c r="DW61" s="530"/>
      <c r="DX61" s="530"/>
      <c r="DY61" s="530"/>
      <c r="DZ61" s="530"/>
      <c r="EA61" s="530"/>
      <c r="EB61" s="530"/>
      <c r="EC61" s="530"/>
      <c r="ED61" s="530"/>
      <c r="EE61" s="530"/>
      <c r="EF61" s="530"/>
      <c r="EG61" s="530"/>
      <c r="EH61" s="530"/>
      <c r="EI61" s="530"/>
      <c r="EJ61" s="530"/>
      <c r="EK61" s="530"/>
      <c r="EL61" s="530"/>
      <c r="EM61" s="530"/>
      <c r="EN61" s="530"/>
      <c r="EO61" s="530"/>
      <c r="EP61" s="530"/>
      <c r="EQ61" s="530"/>
      <c r="ER61" s="530"/>
      <c r="ES61" s="530"/>
      <c r="ET61" s="530"/>
      <c r="EU61" s="530"/>
      <c r="EV61" s="530"/>
      <c r="EW61" s="530"/>
      <c r="EX61" s="530"/>
      <c r="EY61" s="530"/>
      <c r="EZ61" s="530"/>
      <c r="FA61" s="530"/>
      <c r="FB61" s="530"/>
      <c r="FC61" s="530"/>
      <c r="FD61" s="530"/>
      <c r="FE61" s="530"/>
      <c r="FF61" s="530"/>
      <c r="FG61" s="530"/>
      <c r="FH61" s="530"/>
      <c r="FI61" s="530"/>
      <c r="FJ61" s="530"/>
      <c r="FK61" s="530"/>
      <c r="FL61" s="530"/>
      <c r="FM61" s="530"/>
      <c r="FN61" s="530"/>
      <c r="FO61" s="530"/>
      <c r="FP61" s="530"/>
      <c r="FQ61" s="530"/>
      <c r="FR61" s="530"/>
      <c r="FS61" s="530"/>
      <c r="FT61" s="530"/>
      <c r="FU61" s="530"/>
      <c r="FV61" s="530"/>
      <c r="FW61" s="530"/>
      <c r="FX61" s="530"/>
      <c r="FY61" s="530"/>
      <c r="FZ61" s="530"/>
      <c r="GA61" s="530"/>
      <c r="GB61" s="530"/>
      <c r="GC61" s="530"/>
      <c r="GD61" s="530"/>
      <c r="GE61" s="530"/>
      <c r="GF61" s="530"/>
      <c r="GG61" s="530"/>
      <c r="GH61" s="530"/>
      <c r="GI61" s="530"/>
      <c r="GJ61" s="530"/>
      <c r="GK61" s="530"/>
      <c r="GL61" s="530"/>
      <c r="GM61" s="530"/>
      <c r="GN61" s="530"/>
      <c r="GO61" s="530"/>
      <c r="GP61" s="530"/>
      <c r="GQ61" s="530"/>
      <c r="GR61" s="530"/>
      <c r="GS61" s="530"/>
      <c r="GT61" s="530"/>
      <c r="GU61" s="530"/>
      <c r="GV61" s="530"/>
      <c r="GW61" s="530"/>
      <c r="GX61" s="530"/>
      <c r="GY61" s="530"/>
      <c r="GZ61" s="530"/>
      <c r="HA61" s="530"/>
      <c r="HB61" s="530"/>
      <c r="HC61" s="530"/>
      <c r="HD61" s="530"/>
      <c r="HE61" s="530"/>
      <c r="HF61" s="530"/>
      <c r="HG61" s="530"/>
      <c r="HH61" s="530"/>
      <c r="HI61" s="530"/>
      <c r="HJ61" s="530"/>
      <c r="HK61" s="530"/>
      <c r="HL61" s="530"/>
      <c r="HM61" s="530"/>
      <c r="HN61" s="530"/>
      <c r="HO61" s="530"/>
      <c r="HP61" s="530"/>
      <c r="HQ61" s="530"/>
      <c r="HR61" s="530"/>
      <c r="HS61" s="530"/>
      <c r="HT61" s="530"/>
      <c r="HU61" s="530"/>
      <c r="HV61" s="530"/>
      <c r="HW61" s="530"/>
      <c r="HX61" s="530"/>
      <c r="HY61" s="530"/>
      <c r="HZ61" s="530"/>
      <c r="IA61" s="530"/>
      <c r="IB61" s="530"/>
      <c r="IC61" s="530"/>
      <c r="ID61" s="530"/>
      <c r="IE61" s="530"/>
      <c r="IF61" s="530"/>
      <c r="IG61" s="530"/>
      <c r="IH61" s="530"/>
      <c r="II61" s="530"/>
      <c r="IJ61" s="530"/>
      <c r="IK61" s="530"/>
      <c r="IL61" s="530"/>
      <c r="IM61" s="530"/>
      <c r="IN61" s="530"/>
      <c r="IO61" s="530"/>
      <c r="IP61" s="530"/>
      <c r="IQ61" s="530"/>
      <c r="IR61" s="530"/>
      <c r="IS61" s="530"/>
      <c r="IT61" s="530"/>
    </row>
    <row r="62" spans="1:254" ht="11.1" customHeight="1" x14ac:dyDescent="0.2">
      <c r="A62" s="575" t="s">
        <v>2004</v>
      </c>
      <c r="B62" s="576">
        <f>E32</f>
        <v>3228</v>
      </c>
      <c r="C62" s="577" t="s">
        <v>480</v>
      </c>
      <c r="D62" s="578">
        <f>E29</f>
        <v>3606</v>
      </c>
      <c r="E62" s="579"/>
      <c r="F62" s="579"/>
      <c r="G62" s="580">
        <f t="shared" si="3"/>
        <v>22.529670329670331</v>
      </c>
      <c r="H62" s="581"/>
      <c r="I62" s="581">
        <f t="shared" si="4"/>
        <v>33.794505494505501</v>
      </c>
      <c r="J62" s="582">
        <f t="shared" si="5"/>
        <v>45.059340659340663</v>
      </c>
      <c r="L62" s="564"/>
      <c r="M62" s="530"/>
      <c r="N62" s="530"/>
      <c r="O62" s="574"/>
      <c r="P62" s="530"/>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530"/>
      <c r="CA62" s="530"/>
      <c r="CB62" s="530"/>
      <c r="CC62" s="530"/>
      <c r="CD62" s="530"/>
      <c r="CE62" s="530"/>
      <c r="CF62" s="530"/>
      <c r="CG62" s="530"/>
      <c r="CH62" s="530"/>
      <c r="CI62" s="530"/>
      <c r="CJ62" s="530"/>
      <c r="CK62" s="530"/>
      <c r="CL62" s="530"/>
      <c r="CM62" s="530"/>
      <c r="CN62" s="530"/>
      <c r="CO62" s="530"/>
      <c r="CP62" s="530"/>
      <c r="CQ62" s="530"/>
      <c r="CR62" s="530"/>
      <c r="CS62" s="530"/>
      <c r="CT62" s="530"/>
      <c r="CU62" s="530"/>
      <c r="CV62" s="530"/>
      <c r="CW62" s="530"/>
      <c r="CX62" s="530"/>
      <c r="CY62" s="530"/>
      <c r="CZ62" s="530"/>
      <c r="DA62" s="530"/>
      <c r="DB62" s="530"/>
      <c r="DC62" s="530"/>
      <c r="DD62" s="530"/>
      <c r="DE62" s="530"/>
      <c r="DF62" s="530"/>
      <c r="DG62" s="530"/>
      <c r="DH62" s="530"/>
      <c r="DI62" s="530"/>
      <c r="DJ62" s="530"/>
      <c r="DK62" s="530"/>
      <c r="DL62" s="530"/>
      <c r="DM62" s="530"/>
      <c r="DN62" s="530"/>
      <c r="DO62" s="530"/>
      <c r="DP62" s="530"/>
      <c r="DQ62" s="530"/>
      <c r="DR62" s="530"/>
      <c r="DS62" s="530"/>
      <c r="DT62" s="530"/>
      <c r="DU62" s="530"/>
      <c r="DV62" s="530"/>
      <c r="DW62" s="530"/>
      <c r="DX62" s="530"/>
      <c r="DY62" s="530"/>
      <c r="DZ62" s="530"/>
      <c r="EA62" s="530"/>
      <c r="EB62" s="530"/>
      <c r="EC62" s="530"/>
      <c r="ED62" s="530"/>
      <c r="EE62" s="530"/>
      <c r="EF62" s="530"/>
      <c r="EG62" s="530"/>
      <c r="EH62" s="530"/>
      <c r="EI62" s="530"/>
      <c r="EJ62" s="530"/>
      <c r="EK62" s="530"/>
      <c r="EL62" s="530"/>
      <c r="EM62" s="530"/>
      <c r="EN62" s="530"/>
      <c r="EO62" s="530"/>
      <c r="EP62" s="530"/>
      <c r="EQ62" s="530"/>
      <c r="ER62" s="530"/>
      <c r="ES62" s="530"/>
      <c r="ET62" s="530"/>
      <c r="EU62" s="530"/>
      <c r="EV62" s="530"/>
      <c r="EW62" s="530"/>
      <c r="EX62" s="530"/>
      <c r="EY62" s="530"/>
      <c r="EZ62" s="530"/>
      <c r="FA62" s="530"/>
      <c r="FB62" s="530"/>
      <c r="FC62" s="530"/>
      <c r="FD62" s="530"/>
      <c r="FE62" s="530"/>
      <c r="FF62" s="530"/>
      <c r="FG62" s="530"/>
      <c r="FH62" s="530"/>
      <c r="FI62" s="530"/>
      <c r="FJ62" s="530"/>
      <c r="FK62" s="530"/>
      <c r="FL62" s="530"/>
      <c r="FM62" s="530"/>
      <c r="FN62" s="530"/>
      <c r="FO62" s="530"/>
      <c r="FP62" s="530"/>
      <c r="FQ62" s="530"/>
      <c r="FR62" s="530"/>
      <c r="FS62" s="530"/>
      <c r="FT62" s="530"/>
      <c r="FU62" s="530"/>
      <c r="FV62" s="530"/>
      <c r="FW62" s="530"/>
      <c r="FX62" s="530"/>
      <c r="FY62" s="530"/>
      <c r="FZ62" s="530"/>
      <c r="GA62" s="530"/>
      <c r="GB62" s="530"/>
      <c r="GC62" s="530"/>
      <c r="GD62" s="530"/>
      <c r="GE62" s="530"/>
      <c r="GF62" s="530"/>
      <c r="GG62" s="530"/>
      <c r="GH62" s="530"/>
      <c r="GI62" s="530"/>
      <c r="GJ62" s="530"/>
      <c r="GK62" s="530"/>
      <c r="GL62" s="530"/>
      <c r="GM62" s="530"/>
      <c r="GN62" s="530"/>
      <c r="GO62" s="530"/>
      <c r="GP62" s="530"/>
      <c r="GQ62" s="530"/>
      <c r="GR62" s="530"/>
      <c r="GS62" s="530"/>
      <c r="GT62" s="530"/>
      <c r="GU62" s="530"/>
      <c r="GV62" s="530"/>
      <c r="GW62" s="530"/>
      <c r="GX62" s="530"/>
      <c r="GY62" s="530"/>
      <c r="GZ62" s="530"/>
      <c r="HA62" s="530"/>
      <c r="HB62" s="530"/>
      <c r="HC62" s="530"/>
      <c r="HD62" s="530"/>
      <c r="HE62" s="530"/>
      <c r="HF62" s="530"/>
      <c r="HG62" s="530"/>
      <c r="HH62" s="530"/>
      <c r="HI62" s="530"/>
      <c r="HJ62" s="530"/>
      <c r="HK62" s="530"/>
      <c r="HL62" s="530"/>
      <c r="HM62" s="530"/>
      <c r="HN62" s="530"/>
      <c r="HO62" s="530"/>
      <c r="HP62" s="530"/>
      <c r="HQ62" s="530"/>
      <c r="HR62" s="530"/>
      <c r="HS62" s="530"/>
      <c r="HT62" s="530"/>
      <c r="HU62" s="530"/>
      <c r="HV62" s="530"/>
      <c r="HW62" s="530"/>
      <c r="HX62" s="530"/>
      <c r="HY62" s="530"/>
      <c r="HZ62" s="530"/>
      <c r="IA62" s="530"/>
      <c r="IB62" s="530"/>
      <c r="IC62" s="530"/>
      <c r="ID62" s="530"/>
      <c r="IE62" s="530"/>
      <c r="IF62" s="530"/>
      <c r="IG62" s="530"/>
      <c r="IH62" s="530"/>
      <c r="II62" s="530"/>
      <c r="IJ62" s="530"/>
      <c r="IK62" s="530"/>
      <c r="IL62" s="530"/>
      <c r="IM62" s="530"/>
      <c r="IN62" s="530"/>
      <c r="IO62" s="530"/>
      <c r="IP62" s="530"/>
      <c r="IQ62" s="530"/>
      <c r="IR62" s="530"/>
      <c r="IS62" s="530"/>
      <c r="IT62" s="530"/>
    </row>
    <row r="63" spans="1:254" ht="11.1" customHeight="1" x14ac:dyDescent="0.2">
      <c r="A63" s="575" t="s">
        <v>2005</v>
      </c>
      <c r="B63" s="576">
        <f>E28</f>
        <v>3732</v>
      </c>
      <c r="C63" s="577" t="s">
        <v>480</v>
      </c>
      <c r="D63" s="578">
        <f>E25</f>
        <v>4116</v>
      </c>
      <c r="E63" s="579"/>
      <c r="F63" s="579"/>
      <c r="G63" s="580">
        <f t="shared" si="3"/>
        <v>25.872527472527473</v>
      </c>
      <c r="H63" s="581"/>
      <c r="I63" s="581">
        <f t="shared" si="4"/>
        <v>38.808791208791206</v>
      </c>
      <c r="J63" s="582">
        <f t="shared" si="5"/>
        <v>51.745054945054946</v>
      </c>
      <c r="L63" s="564"/>
      <c r="M63" s="530"/>
      <c r="N63" s="530"/>
      <c r="O63" s="574"/>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0"/>
      <c r="DC63" s="530"/>
      <c r="DD63" s="530"/>
      <c r="DE63" s="530"/>
      <c r="DF63" s="530"/>
      <c r="DG63" s="530"/>
      <c r="DH63" s="530"/>
      <c r="DI63" s="530"/>
      <c r="DJ63" s="530"/>
      <c r="DK63" s="530"/>
      <c r="DL63" s="530"/>
      <c r="DM63" s="530"/>
      <c r="DN63" s="530"/>
      <c r="DO63" s="530"/>
      <c r="DP63" s="530"/>
      <c r="DQ63" s="530"/>
      <c r="DR63" s="530"/>
      <c r="DS63" s="530"/>
      <c r="DT63" s="530"/>
      <c r="DU63" s="530"/>
      <c r="DV63" s="530"/>
      <c r="DW63" s="530"/>
      <c r="DX63" s="530"/>
      <c r="DY63" s="530"/>
      <c r="DZ63" s="530"/>
      <c r="EA63" s="530"/>
      <c r="EB63" s="530"/>
      <c r="EC63" s="530"/>
      <c r="ED63" s="530"/>
      <c r="EE63" s="530"/>
      <c r="EF63" s="530"/>
      <c r="EG63" s="530"/>
      <c r="EH63" s="530"/>
      <c r="EI63" s="530"/>
      <c r="EJ63" s="530"/>
      <c r="EK63" s="530"/>
      <c r="EL63" s="530"/>
      <c r="EM63" s="530"/>
      <c r="EN63" s="530"/>
      <c r="EO63" s="530"/>
      <c r="EP63" s="530"/>
      <c r="EQ63" s="530"/>
      <c r="ER63" s="530"/>
      <c r="ES63" s="530"/>
      <c r="ET63" s="530"/>
      <c r="EU63" s="530"/>
      <c r="EV63" s="530"/>
      <c r="EW63" s="530"/>
      <c r="EX63" s="530"/>
      <c r="EY63" s="530"/>
      <c r="EZ63" s="530"/>
      <c r="FA63" s="530"/>
      <c r="FB63" s="530"/>
      <c r="FC63" s="530"/>
      <c r="FD63" s="530"/>
      <c r="FE63" s="530"/>
      <c r="FF63" s="530"/>
      <c r="FG63" s="530"/>
      <c r="FH63" s="530"/>
      <c r="FI63" s="530"/>
      <c r="FJ63" s="530"/>
      <c r="FK63" s="530"/>
      <c r="FL63" s="530"/>
      <c r="FM63" s="530"/>
      <c r="FN63" s="530"/>
      <c r="FO63" s="530"/>
      <c r="FP63" s="530"/>
      <c r="FQ63" s="530"/>
      <c r="FR63" s="530"/>
      <c r="FS63" s="530"/>
      <c r="FT63" s="530"/>
      <c r="FU63" s="530"/>
      <c r="FV63" s="530"/>
      <c r="FW63" s="530"/>
      <c r="FX63" s="530"/>
      <c r="FY63" s="530"/>
      <c r="FZ63" s="530"/>
      <c r="GA63" s="530"/>
      <c r="GB63" s="530"/>
      <c r="GC63" s="530"/>
      <c r="GD63" s="530"/>
      <c r="GE63" s="530"/>
      <c r="GF63" s="530"/>
      <c r="GG63" s="530"/>
      <c r="GH63" s="530"/>
      <c r="GI63" s="530"/>
      <c r="GJ63" s="530"/>
      <c r="GK63" s="530"/>
      <c r="GL63" s="530"/>
      <c r="GM63" s="530"/>
      <c r="GN63" s="530"/>
      <c r="GO63" s="530"/>
      <c r="GP63" s="530"/>
      <c r="GQ63" s="530"/>
      <c r="GR63" s="530"/>
      <c r="GS63" s="530"/>
      <c r="GT63" s="530"/>
      <c r="GU63" s="530"/>
      <c r="GV63" s="530"/>
      <c r="GW63" s="530"/>
      <c r="GX63" s="530"/>
      <c r="GY63" s="530"/>
      <c r="GZ63" s="530"/>
      <c r="HA63" s="530"/>
      <c r="HB63" s="530"/>
      <c r="HC63" s="530"/>
      <c r="HD63" s="530"/>
      <c r="HE63" s="530"/>
      <c r="HF63" s="530"/>
      <c r="HG63" s="530"/>
      <c r="HH63" s="530"/>
      <c r="HI63" s="530"/>
      <c r="HJ63" s="530"/>
      <c r="HK63" s="530"/>
      <c r="HL63" s="530"/>
      <c r="HM63" s="530"/>
      <c r="HN63" s="530"/>
      <c r="HO63" s="530"/>
      <c r="HP63" s="530"/>
      <c r="HQ63" s="530"/>
      <c r="HR63" s="530"/>
      <c r="HS63" s="530"/>
      <c r="HT63" s="530"/>
      <c r="HU63" s="530"/>
      <c r="HV63" s="530"/>
      <c r="HW63" s="530"/>
      <c r="HX63" s="530"/>
      <c r="HY63" s="530"/>
      <c r="HZ63" s="530"/>
      <c r="IA63" s="530"/>
      <c r="IB63" s="530"/>
      <c r="IC63" s="530"/>
      <c r="ID63" s="530"/>
      <c r="IE63" s="530"/>
      <c r="IF63" s="530"/>
      <c r="IG63" s="530"/>
      <c r="IH63" s="530"/>
      <c r="II63" s="530"/>
      <c r="IJ63" s="530"/>
      <c r="IK63" s="530"/>
      <c r="IL63" s="530"/>
      <c r="IM63" s="530"/>
      <c r="IN63" s="530"/>
      <c r="IO63" s="530"/>
      <c r="IP63" s="530"/>
      <c r="IQ63" s="530"/>
      <c r="IR63" s="530"/>
      <c r="IS63" s="530"/>
      <c r="IT63" s="530"/>
    </row>
    <row r="64" spans="1:254" ht="12" customHeight="1" x14ac:dyDescent="0.2">
      <c r="A64" s="584" t="s">
        <v>2006</v>
      </c>
      <c r="B64" s="585">
        <f>E24</f>
        <v>4248</v>
      </c>
      <c r="C64" s="586" t="s">
        <v>480</v>
      </c>
      <c r="D64" s="587">
        <f>E21</f>
        <v>4644</v>
      </c>
      <c r="E64" s="585"/>
      <c r="F64" s="585"/>
      <c r="G64" s="588">
        <f t="shared" si="3"/>
        <v>29.314285714285713</v>
      </c>
      <c r="H64" s="588"/>
      <c r="I64" s="588">
        <f t="shared" si="4"/>
        <v>43.971428571428568</v>
      </c>
      <c r="J64" s="588">
        <f t="shared" si="5"/>
        <v>58.628571428571426</v>
      </c>
      <c r="K64" s="589"/>
      <c r="L64" s="590"/>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589"/>
      <c r="AU64" s="589"/>
      <c r="AV64" s="589"/>
      <c r="AW64" s="589"/>
      <c r="AX64" s="589"/>
      <c r="AY64" s="589"/>
      <c r="AZ64" s="589"/>
      <c r="BA64" s="589"/>
      <c r="BB64" s="589"/>
      <c r="BC64" s="589"/>
      <c r="BD64" s="589"/>
      <c r="BE64" s="589"/>
      <c r="BF64" s="589"/>
      <c r="BG64" s="589"/>
      <c r="BH64" s="589"/>
      <c r="BI64" s="589"/>
      <c r="BJ64" s="589"/>
      <c r="BK64" s="589"/>
      <c r="BL64" s="589"/>
      <c r="BM64" s="589"/>
      <c r="BN64" s="589"/>
      <c r="BO64" s="589"/>
      <c r="BP64" s="589"/>
      <c r="BQ64" s="589"/>
      <c r="BR64" s="589"/>
      <c r="BS64" s="589"/>
      <c r="BT64" s="589"/>
      <c r="BU64" s="589"/>
      <c r="BV64" s="589"/>
      <c r="BW64" s="589"/>
      <c r="BX64" s="589"/>
      <c r="BY64" s="589"/>
      <c r="BZ64" s="589"/>
      <c r="CA64" s="589"/>
      <c r="CB64" s="589"/>
      <c r="CC64" s="589"/>
      <c r="CD64" s="589"/>
      <c r="CE64" s="589"/>
      <c r="CF64" s="589"/>
      <c r="CG64" s="589"/>
      <c r="CH64" s="589"/>
      <c r="CI64" s="589"/>
      <c r="CJ64" s="589"/>
      <c r="CK64" s="589"/>
      <c r="CL64" s="589"/>
      <c r="CM64" s="589"/>
      <c r="CN64" s="589"/>
      <c r="CO64" s="589"/>
      <c r="CP64" s="589"/>
      <c r="CQ64" s="589"/>
      <c r="CR64" s="589"/>
      <c r="CS64" s="589"/>
      <c r="CT64" s="589"/>
      <c r="CU64" s="589"/>
      <c r="CV64" s="589"/>
      <c r="CW64" s="589"/>
      <c r="CX64" s="589"/>
      <c r="CY64" s="589"/>
      <c r="CZ64" s="589"/>
      <c r="DA64" s="589"/>
      <c r="DB64" s="589"/>
      <c r="DC64" s="589"/>
      <c r="DD64" s="589"/>
      <c r="DE64" s="589"/>
      <c r="DF64" s="589"/>
      <c r="DG64" s="589"/>
      <c r="DH64" s="589"/>
      <c r="DI64" s="589"/>
      <c r="DJ64" s="589"/>
      <c r="DK64" s="589"/>
      <c r="DL64" s="589"/>
      <c r="DM64" s="589"/>
      <c r="DN64" s="589"/>
      <c r="DO64" s="589"/>
      <c r="DP64" s="589"/>
      <c r="DQ64" s="589"/>
      <c r="DR64" s="589"/>
      <c r="DS64" s="589"/>
      <c r="DT64" s="589"/>
      <c r="DU64" s="589"/>
      <c r="DV64" s="589"/>
      <c r="DW64" s="589"/>
      <c r="DX64" s="589"/>
      <c r="DY64" s="589"/>
      <c r="DZ64" s="589"/>
      <c r="EA64" s="589"/>
      <c r="EB64" s="589"/>
      <c r="EC64" s="589"/>
      <c r="ED64" s="589"/>
      <c r="EE64" s="589"/>
      <c r="EF64" s="589"/>
      <c r="EG64" s="589"/>
      <c r="EH64" s="589"/>
      <c r="EI64" s="589"/>
      <c r="EJ64" s="589"/>
      <c r="EK64" s="589"/>
      <c r="EL64" s="589"/>
      <c r="EM64" s="589"/>
      <c r="EN64" s="589"/>
      <c r="EO64" s="589"/>
      <c r="EP64" s="589"/>
      <c r="EQ64" s="589"/>
      <c r="ER64" s="589"/>
      <c r="ES64" s="589"/>
      <c r="ET64" s="589"/>
      <c r="EU64" s="589"/>
      <c r="EV64" s="589"/>
      <c r="EW64" s="589"/>
      <c r="EX64" s="589"/>
      <c r="EY64" s="589"/>
      <c r="EZ64" s="589"/>
      <c r="FA64" s="589"/>
      <c r="FB64" s="589"/>
      <c r="FC64" s="589"/>
      <c r="FD64" s="589"/>
      <c r="FE64" s="589"/>
      <c r="FF64" s="589"/>
      <c r="FG64" s="589"/>
      <c r="FH64" s="589"/>
      <c r="FI64" s="589"/>
      <c r="FJ64" s="589"/>
      <c r="FK64" s="589"/>
      <c r="FL64" s="589"/>
      <c r="FM64" s="589"/>
      <c r="FN64" s="589"/>
      <c r="FO64" s="589"/>
      <c r="FP64" s="589"/>
      <c r="FQ64" s="589"/>
      <c r="FR64" s="589"/>
      <c r="FS64" s="589"/>
      <c r="FT64" s="589"/>
      <c r="FU64" s="589"/>
      <c r="FV64" s="589"/>
      <c r="FW64" s="589"/>
      <c r="FX64" s="589"/>
      <c r="FY64" s="589"/>
      <c r="FZ64" s="589"/>
      <c r="GA64" s="589"/>
      <c r="GB64" s="589"/>
      <c r="GC64" s="589"/>
      <c r="GD64" s="589"/>
      <c r="GE64" s="589"/>
      <c r="GF64" s="589"/>
      <c r="GG64" s="589"/>
      <c r="GH64" s="589"/>
      <c r="GI64" s="589"/>
      <c r="GJ64" s="589"/>
      <c r="GK64" s="589"/>
      <c r="GL64" s="589"/>
      <c r="GM64" s="589"/>
      <c r="GN64" s="589"/>
      <c r="GO64" s="589"/>
      <c r="GP64" s="589"/>
      <c r="GQ64" s="589"/>
      <c r="GR64" s="589"/>
      <c r="GS64" s="589"/>
      <c r="GT64" s="589"/>
      <c r="GU64" s="589"/>
      <c r="GV64" s="589"/>
      <c r="GW64" s="589"/>
      <c r="GX64" s="589"/>
      <c r="GY64" s="589"/>
      <c r="GZ64" s="589"/>
      <c r="HA64" s="589"/>
      <c r="HB64" s="589"/>
      <c r="HC64" s="589"/>
      <c r="HD64" s="589"/>
      <c r="HE64" s="589"/>
      <c r="HF64" s="589"/>
      <c r="HG64" s="589"/>
      <c r="HH64" s="589"/>
      <c r="HI64" s="589"/>
      <c r="HJ64" s="589"/>
      <c r="HK64" s="589"/>
      <c r="HL64" s="589"/>
      <c r="HM64" s="589"/>
      <c r="HN64" s="589"/>
      <c r="HO64" s="589"/>
      <c r="HP64" s="589"/>
      <c r="HQ64" s="589"/>
      <c r="HR64" s="589"/>
      <c r="HS64" s="589"/>
      <c r="HT64" s="589"/>
      <c r="HU64" s="589"/>
      <c r="HV64" s="589"/>
      <c r="HW64" s="589"/>
      <c r="HX64" s="589"/>
      <c r="HY64" s="589"/>
      <c r="HZ64" s="589"/>
      <c r="IA64" s="589"/>
      <c r="IB64" s="589"/>
      <c r="IC64" s="589"/>
      <c r="ID64" s="589"/>
      <c r="IE64" s="589"/>
      <c r="IF64" s="589"/>
      <c r="IG64" s="589"/>
      <c r="IH64" s="589"/>
      <c r="II64" s="589"/>
      <c r="IJ64" s="589"/>
      <c r="IK64" s="589"/>
      <c r="IL64" s="589"/>
      <c r="IM64" s="589"/>
      <c r="IN64" s="589"/>
      <c r="IO64" s="589"/>
      <c r="IP64" s="589"/>
      <c r="IQ64" s="589"/>
      <c r="IR64" s="589"/>
      <c r="IS64" s="589"/>
      <c r="IT64" s="589"/>
    </row>
    <row r="65" spans="1:18" ht="12" customHeight="1" x14ac:dyDescent="0.2">
      <c r="A65" s="591" t="s">
        <v>2007</v>
      </c>
      <c r="B65" s="592">
        <f>E20</f>
        <v>4776</v>
      </c>
      <c r="C65" s="593"/>
      <c r="D65" s="594">
        <f>E17</f>
        <v>5172</v>
      </c>
      <c r="E65" s="592"/>
      <c r="F65" s="592"/>
      <c r="G65" s="595">
        <f t="shared" si="3"/>
        <v>32.795604395604393</v>
      </c>
      <c r="H65" s="595"/>
      <c r="I65" s="595">
        <f t="shared" si="4"/>
        <v>49.193406593406593</v>
      </c>
      <c r="J65" s="595">
        <f t="shared" si="5"/>
        <v>65.591208791208786</v>
      </c>
    </row>
    <row r="66" spans="1:18" ht="12" customHeight="1" x14ac:dyDescent="0.2">
      <c r="A66" s="591" t="s">
        <v>2008</v>
      </c>
      <c r="B66" s="592">
        <f>E16</f>
        <v>5304</v>
      </c>
      <c r="C66" s="593"/>
      <c r="D66" s="594">
        <f>E13</f>
        <v>5706</v>
      </c>
      <c r="E66" s="592"/>
      <c r="F66" s="592"/>
      <c r="G66" s="595">
        <f t="shared" si="3"/>
        <v>36.296703296703299</v>
      </c>
      <c r="H66" s="595"/>
      <c r="I66" s="595">
        <f t="shared" si="4"/>
        <v>54.445054945054949</v>
      </c>
      <c r="J66" s="595">
        <f t="shared" si="5"/>
        <v>72.593406593406598</v>
      </c>
    </row>
    <row r="67" spans="1:18" ht="12" customHeight="1" x14ac:dyDescent="0.2">
      <c r="A67" s="593"/>
      <c r="B67" s="593"/>
      <c r="C67" s="593"/>
      <c r="D67" s="597"/>
      <c r="E67" s="593"/>
      <c r="F67" s="593"/>
      <c r="G67" s="593"/>
      <c r="H67" s="593"/>
      <c r="I67" s="593"/>
      <c r="J67" s="593"/>
    </row>
    <row r="68" spans="1:18" ht="12" customHeight="1" x14ac:dyDescent="0.2"/>
    <row r="69" spans="1:18" ht="12" hidden="1" customHeight="1" x14ac:dyDescent="0.2"/>
    <row r="70" spans="1:18" ht="15.75" hidden="1" x14ac:dyDescent="0.25">
      <c r="D70" s="531"/>
      <c r="G70" s="598" t="s">
        <v>1932</v>
      </c>
      <c r="H70" s="599"/>
      <c r="I70" s="599"/>
      <c r="J70" s="596"/>
      <c r="L70" s="531"/>
      <c r="R70" s="596"/>
    </row>
    <row r="71" spans="1:18" hidden="1" x14ac:dyDescent="0.2">
      <c r="D71" s="531"/>
      <c r="G71" s="600" t="s">
        <v>2009</v>
      </c>
      <c r="H71" s="600"/>
      <c r="I71" s="600"/>
      <c r="J71" s="596"/>
      <c r="L71" s="531"/>
      <c r="R71" s="596"/>
    </row>
    <row r="72" spans="1:18" hidden="1" x14ac:dyDescent="0.2">
      <c r="D72" s="531"/>
      <c r="G72" s="601" t="s">
        <v>1935</v>
      </c>
      <c r="H72" s="601" t="s">
        <v>1936</v>
      </c>
      <c r="I72" s="601" t="s">
        <v>2010</v>
      </c>
      <c r="J72" s="596"/>
      <c r="L72" s="531"/>
      <c r="R72" s="596"/>
    </row>
    <row r="73" spans="1:18" hidden="1" x14ac:dyDescent="0.2">
      <c r="D73" s="531"/>
      <c r="G73" s="602" t="s">
        <v>2011</v>
      </c>
      <c r="H73" s="601">
        <f>B4</f>
        <v>93120</v>
      </c>
      <c r="I73" s="601">
        <f>H73</f>
        <v>93120</v>
      </c>
      <c r="J73" s="596"/>
      <c r="L73" s="531"/>
      <c r="R73" s="596"/>
    </row>
    <row r="74" spans="1:18" hidden="1" x14ac:dyDescent="0.2">
      <c r="D74" s="531"/>
      <c r="G74" s="603" t="s">
        <v>2012</v>
      </c>
      <c r="H74" s="604">
        <f t="shared" ref="H74:H123" si="6">B5</f>
        <v>84600</v>
      </c>
      <c r="I74" s="604">
        <f t="shared" ref="I74:I105" si="7">SUM(H73:H74)/2</f>
        <v>88860</v>
      </c>
      <c r="J74" s="596"/>
      <c r="L74" s="531"/>
      <c r="R74" s="596"/>
    </row>
    <row r="75" spans="1:18" hidden="1" x14ac:dyDescent="0.2">
      <c r="D75" s="531"/>
      <c r="G75" s="602" t="s">
        <v>2013</v>
      </c>
      <c r="H75" s="605">
        <f t="shared" si="6"/>
        <v>82800</v>
      </c>
      <c r="I75" s="605">
        <f t="shared" si="7"/>
        <v>83700</v>
      </c>
      <c r="J75" s="596"/>
      <c r="L75" s="531"/>
      <c r="R75" s="596"/>
    </row>
    <row r="76" spans="1:18" hidden="1" x14ac:dyDescent="0.2">
      <c r="D76" s="531"/>
      <c r="G76" s="603" t="s">
        <v>2014</v>
      </c>
      <c r="H76" s="604">
        <f t="shared" si="6"/>
        <v>79920</v>
      </c>
      <c r="I76" s="604">
        <f t="shared" si="7"/>
        <v>81360</v>
      </c>
      <c r="J76" s="596"/>
      <c r="L76" s="531"/>
      <c r="R76" s="596"/>
    </row>
    <row r="77" spans="1:18" hidden="1" x14ac:dyDescent="0.2">
      <c r="D77" s="531"/>
      <c r="G77" s="602" t="s">
        <v>2015</v>
      </c>
      <c r="H77" s="605">
        <f t="shared" si="6"/>
        <v>78000</v>
      </c>
      <c r="I77" s="605">
        <f t="shared" si="7"/>
        <v>78960</v>
      </c>
      <c r="J77" s="596"/>
      <c r="L77" s="531"/>
      <c r="R77" s="596"/>
    </row>
    <row r="78" spans="1:18" hidden="1" x14ac:dyDescent="0.2">
      <c r="D78" s="531"/>
      <c r="G78" s="603" t="s">
        <v>2016</v>
      </c>
      <c r="H78" s="604">
        <f t="shared" si="6"/>
        <v>75000</v>
      </c>
      <c r="I78" s="604">
        <f t="shared" si="7"/>
        <v>76500</v>
      </c>
      <c r="J78" s="596"/>
      <c r="L78" s="531"/>
      <c r="R78" s="596"/>
    </row>
    <row r="79" spans="1:18" hidden="1" x14ac:dyDescent="0.2">
      <c r="D79" s="531"/>
      <c r="G79" s="602" t="s">
        <v>2017</v>
      </c>
      <c r="H79" s="605">
        <f t="shared" si="6"/>
        <v>73140</v>
      </c>
      <c r="I79" s="605">
        <f t="shared" si="7"/>
        <v>74070</v>
      </c>
      <c r="J79" s="596"/>
      <c r="L79" s="531"/>
      <c r="R79" s="596"/>
    </row>
    <row r="80" spans="1:18" hidden="1" x14ac:dyDescent="0.2">
      <c r="D80" s="531"/>
      <c r="G80" s="606" t="s">
        <v>2018</v>
      </c>
      <c r="H80" s="604">
        <f t="shared" si="6"/>
        <v>71400</v>
      </c>
      <c r="I80" s="604">
        <f t="shared" si="7"/>
        <v>72270</v>
      </c>
      <c r="J80" s="596"/>
      <c r="L80" s="531"/>
      <c r="R80" s="596"/>
    </row>
    <row r="81" spans="4:18" hidden="1" x14ac:dyDescent="0.2">
      <c r="D81" s="531"/>
      <c r="G81" s="606" t="s">
        <v>2019</v>
      </c>
      <c r="H81" s="605">
        <f t="shared" si="6"/>
        <v>70092</v>
      </c>
      <c r="I81" s="605">
        <f t="shared" si="7"/>
        <v>70746</v>
      </c>
      <c r="J81" s="596"/>
      <c r="L81" s="531"/>
      <c r="R81" s="596"/>
    </row>
    <row r="82" spans="4:18" hidden="1" x14ac:dyDescent="0.2">
      <c r="D82" s="531"/>
      <c r="G82" s="602" t="s">
        <v>1951</v>
      </c>
      <c r="H82" s="604">
        <f t="shared" si="6"/>
        <v>68472</v>
      </c>
      <c r="I82" s="604">
        <f t="shared" si="7"/>
        <v>69282</v>
      </c>
      <c r="J82" s="596"/>
      <c r="L82" s="531"/>
      <c r="R82" s="596"/>
    </row>
    <row r="83" spans="4:18" hidden="1" x14ac:dyDescent="0.2">
      <c r="D83" s="531"/>
      <c r="G83" s="603" t="s">
        <v>1952</v>
      </c>
      <c r="H83" s="605">
        <f t="shared" si="6"/>
        <v>66852</v>
      </c>
      <c r="I83" s="605">
        <f t="shared" si="7"/>
        <v>67662</v>
      </c>
      <c r="J83" s="596"/>
      <c r="L83" s="531"/>
      <c r="R83" s="596"/>
    </row>
    <row r="84" spans="4:18" hidden="1" x14ac:dyDescent="0.2">
      <c r="D84" s="531"/>
      <c r="G84" s="602" t="s">
        <v>1953</v>
      </c>
      <c r="H84" s="604">
        <f t="shared" si="6"/>
        <v>65232</v>
      </c>
      <c r="I84" s="604">
        <f t="shared" si="7"/>
        <v>66042</v>
      </c>
      <c r="J84" s="596"/>
      <c r="L84" s="531"/>
      <c r="R84" s="596"/>
    </row>
    <row r="85" spans="4:18" hidden="1" x14ac:dyDescent="0.2">
      <c r="D85" s="531"/>
      <c r="G85" s="603" t="s">
        <v>1954</v>
      </c>
      <c r="H85" s="605">
        <f t="shared" si="6"/>
        <v>63648</v>
      </c>
      <c r="I85" s="605">
        <f t="shared" si="7"/>
        <v>64440</v>
      </c>
      <c r="J85" s="596"/>
      <c r="L85" s="531"/>
      <c r="R85" s="596"/>
    </row>
    <row r="86" spans="4:18" hidden="1" x14ac:dyDescent="0.2">
      <c r="D86" s="531"/>
      <c r="G86" s="602" t="s">
        <v>1955</v>
      </c>
      <c r="H86" s="604">
        <f t="shared" si="6"/>
        <v>62064</v>
      </c>
      <c r="I86" s="604">
        <f t="shared" si="7"/>
        <v>62856</v>
      </c>
      <c r="J86" s="596"/>
      <c r="L86" s="531"/>
      <c r="R86" s="596"/>
    </row>
    <row r="87" spans="4:18" hidden="1" x14ac:dyDescent="0.2">
      <c r="D87" s="531"/>
      <c r="G87" s="603" t="s">
        <v>1956</v>
      </c>
      <c r="H87" s="605">
        <f t="shared" si="6"/>
        <v>60480</v>
      </c>
      <c r="I87" s="605">
        <f t="shared" si="7"/>
        <v>61272</v>
      </c>
      <c r="J87" s="596"/>
      <c r="L87" s="531"/>
      <c r="R87" s="596"/>
    </row>
    <row r="88" spans="4:18" hidden="1" x14ac:dyDescent="0.2">
      <c r="D88" s="531"/>
      <c r="G88" s="602" t="s">
        <v>1957</v>
      </c>
      <c r="H88" s="604">
        <f t="shared" si="6"/>
        <v>58896</v>
      </c>
      <c r="I88" s="604">
        <f t="shared" si="7"/>
        <v>59688</v>
      </c>
      <c r="J88" s="596"/>
      <c r="L88" s="531"/>
      <c r="R88" s="596"/>
    </row>
    <row r="89" spans="4:18" hidden="1" x14ac:dyDescent="0.2">
      <c r="D89" s="531"/>
      <c r="G89" s="603" t="s">
        <v>1958</v>
      </c>
      <c r="H89" s="605">
        <f t="shared" si="6"/>
        <v>57312</v>
      </c>
      <c r="I89" s="605">
        <f t="shared" si="7"/>
        <v>58104</v>
      </c>
      <c r="J89" s="596"/>
      <c r="L89" s="531"/>
      <c r="R89" s="596"/>
    </row>
    <row r="90" spans="4:18" hidden="1" x14ac:dyDescent="0.2">
      <c r="D90" s="531"/>
      <c r="G90" s="602" t="s">
        <v>1959</v>
      </c>
      <c r="H90" s="604">
        <f t="shared" si="6"/>
        <v>55728</v>
      </c>
      <c r="I90" s="604">
        <f t="shared" si="7"/>
        <v>56520</v>
      </c>
      <c r="J90" s="596"/>
      <c r="L90" s="531"/>
      <c r="R90" s="596"/>
    </row>
    <row r="91" spans="4:18" hidden="1" x14ac:dyDescent="0.2">
      <c r="D91" s="531"/>
      <c r="G91" s="603" t="s">
        <v>1960</v>
      </c>
      <c r="H91" s="605">
        <f t="shared" si="6"/>
        <v>54144</v>
      </c>
      <c r="I91" s="605">
        <f t="shared" si="7"/>
        <v>54936</v>
      </c>
      <c r="J91" s="596"/>
      <c r="L91" s="531"/>
      <c r="R91" s="596"/>
    </row>
    <row r="92" spans="4:18" hidden="1" x14ac:dyDescent="0.2">
      <c r="D92" s="531"/>
      <c r="G92" s="602" t="s">
        <v>1961</v>
      </c>
      <c r="H92" s="604">
        <f t="shared" si="6"/>
        <v>52560</v>
      </c>
      <c r="I92" s="604">
        <f t="shared" si="7"/>
        <v>53352</v>
      </c>
      <c r="J92" s="596"/>
      <c r="L92" s="531"/>
      <c r="R92" s="596"/>
    </row>
    <row r="93" spans="4:18" hidden="1" x14ac:dyDescent="0.2">
      <c r="D93" s="531"/>
      <c r="G93" s="603" t="s">
        <v>1962</v>
      </c>
      <c r="H93" s="605">
        <f t="shared" si="6"/>
        <v>50976</v>
      </c>
      <c r="I93" s="605">
        <f t="shared" si="7"/>
        <v>51768</v>
      </c>
      <c r="J93" s="596"/>
      <c r="L93" s="531"/>
      <c r="R93" s="596"/>
    </row>
    <row r="94" spans="4:18" hidden="1" x14ac:dyDescent="0.2">
      <c r="D94" s="531"/>
      <c r="G94" s="602" t="s">
        <v>1963</v>
      </c>
      <c r="H94" s="604">
        <f t="shared" si="6"/>
        <v>49392</v>
      </c>
      <c r="I94" s="604">
        <f t="shared" si="7"/>
        <v>50184</v>
      </c>
      <c r="J94" s="596"/>
      <c r="L94" s="531"/>
      <c r="R94" s="596"/>
    </row>
    <row r="95" spans="4:18" hidden="1" x14ac:dyDescent="0.2">
      <c r="D95" s="531"/>
      <c r="G95" s="603" t="s">
        <v>1964</v>
      </c>
      <c r="H95" s="605">
        <f t="shared" si="6"/>
        <v>47808</v>
      </c>
      <c r="I95" s="605">
        <f t="shared" si="7"/>
        <v>48600</v>
      </c>
      <c r="J95" s="596"/>
      <c r="L95" s="531"/>
      <c r="R95" s="596"/>
    </row>
    <row r="96" spans="4:18" hidden="1" x14ac:dyDescent="0.2">
      <c r="D96" s="531"/>
      <c r="G96" s="602" t="s">
        <v>1965</v>
      </c>
      <c r="H96" s="604">
        <f t="shared" si="6"/>
        <v>46296</v>
      </c>
      <c r="I96" s="604">
        <f t="shared" si="7"/>
        <v>47052</v>
      </c>
      <c r="J96" s="596"/>
      <c r="L96" s="531"/>
      <c r="R96" s="596"/>
    </row>
    <row r="97" spans="4:18" hidden="1" x14ac:dyDescent="0.2">
      <c r="D97" s="531"/>
      <c r="G97" s="603" t="s">
        <v>1966</v>
      </c>
      <c r="H97" s="605">
        <f t="shared" si="6"/>
        <v>44784</v>
      </c>
      <c r="I97" s="605">
        <f t="shared" si="7"/>
        <v>45540</v>
      </c>
      <c r="J97" s="596"/>
      <c r="L97" s="531"/>
      <c r="R97" s="596"/>
    </row>
    <row r="98" spans="4:18" hidden="1" x14ac:dyDescent="0.2">
      <c r="D98" s="531"/>
      <c r="G98" s="602" t="s">
        <v>1967</v>
      </c>
      <c r="H98" s="604">
        <f t="shared" si="6"/>
        <v>43272</v>
      </c>
      <c r="I98" s="604">
        <f t="shared" si="7"/>
        <v>44028</v>
      </c>
      <c r="J98" s="596"/>
      <c r="L98" s="531"/>
      <c r="R98" s="596"/>
    </row>
    <row r="99" spans="4:18" hidden="1" x14ac:dyDescent="0.2">
      <c r="D99" s="531"/>
      <c r="G99" s="603" t="s">
        <v>1968</v>
      </c>
      <c r="H99" s="605">
        <f t="shared" si="6"/>
        <v>41760</v>
      </c>
      <c r="I99" s="605">
        <f t="shared" si="7"/>
        <v>42516</v>
      </c>
      <c r="J99" s="596"/>
      <c r="L99" s="531"/>
      <c r="R99" s="596"/>
    </row>
    <row r="100" spans="4:18" hidden="1" x14ac:dyDescent="0.2">
      <c r="D100" s="531"/>
      <c r="G100" s="602" t="s">
        <v>1969</v>
      </c>
      <c r="H100" s="604">
        <f t="shared" si="6"/>
        <v>40248</v>
      </c>
      <c r="I100" s="604">
        <f t="shared" si="7"/>
        <v>41004</v>
      </c>
      <c r="J100" s="596"/>
      <c r="L100" s="531"/>
      <c r="R100" s="596"/>
    </row>
    <row r="101" spans="4:18" hidden="1" x14ac:dyDescent="0.2">
      <c r="D101" s="531"/>
      <c r="G101" s="603" t="s">
        <v>1970</v>
      </c>
      <c r="H101" s="605">
        <f t="shared" si="6"/>
        <v>38736</v>
      </c>
      <c r="I101" s="605">
        <f t="shared" si="7"/>
        <v>39492</v>
      </c>
      <c r="J101" s="596"/>
      <c r="L101" s="531"/>
      <c r="R101" s="596"/>
    </row>
    <row r="102" spans="4:18" hidden="1" x14ac:dyDescent="0.2">
      <c r="D102" s="531"/>
      <c r="G102" s="602" t="s">
        <v>1971</v>
      </c>
      <c r="H102" s="604">
        <f t="shared" si="6"/>
        <v>37428</v>
      </c>
      <c r="I102" s="604">
        <f t="shared" si="7"/>
        <v>38082</v>
      </c>
      <c r="J102" s="596"/>
      <c r="L102" s="531"/>
      <c r="R102" s="596"/>
    </row>
    <row r="103" spans="4:18" hidden="1" x14ac:dyDescent="0.2">
      <c r="D103" s="531"/>
      <c r="G103" s="603" t="s">
        <v>1972</v>
      </c>
      <c r="H103" s="605">
        <f t="shared" si="6"/>
        <v>36120</v>
      </c>
      <c r="I103" s="605">
        <f t="shared" si="7"/>
        <v>36774</v>
      </c>
      <c r="J103" s="596"/>
      <c r="L103" s="531"/>
      <c r="R103" s="596"/>
    </row>
    <row r="104" spans="4:18" hidden="1" x14ac:dyDescent="0.2">
      <c r="D104" s="531"/>
      <c r="G104" s="602" t="s">
        <v>1973</v>
      </c>
      <c r="H104" s="604">
        <f t="shared" si="6"/>
        <v>34812</v>
      </c>
      <c r="I104" s="604">
        <f t="shared" si="7"/>
        <v>35466</v>
      </c>
      <c r="J104" s="596"/>
      <c r="L104" s="531"/>
      <c r="R104" s="596"/>
    </row>
    <row r="105" spans="4:18" hidden="1" x14ac:dyDescent="0.2">
      <c r="D105" s="531"/>
      <c r="G105" s="603" t="s">
        <v>1974</v>
      </c>
      <c r="H105" s="605">
        <f t="shared" si="6"/>
        <v>33504</v>
      </c>
      <c r="I105" s="605">
        <f t="shared" si="7"/>
        <v>34158</v>
      </c>
      <c r="J105" s="596"/>
      <c r="L105" s="531"/>
      <c r="R105" s="596"/>
    </row>
    <row r="106" spans="4:18" hidden="1" x14ac:dyDescent="0.2">
      <c r="D106" s="531"/>
      <c r="G106" s="602" t="s">
        <v>1975</v>
      </c>
      <c r="H106" s="604">
        <f t="shared" si="6"/>
        <v>32196</v>
      </c>
      <c r="I106" s="604">
        <f t="shared" ref="I106:I123" si="8">SUM(H105:H106)/2</f>
        <v>32850</v>
      </c>
      <c r="J106" s="596"/>
      <c r="L106" s="531"/>
      <c r="R106" s="596"/>
    </row>
    <row r="107" spans="4:18" hidden="1" x14ac:dyDescent="0.2">
      <c r="D107" s="531"/>
      <c r="G107" s="603" t="s">
        <v>1976</v>
      </c>
      <c r="H107" s="605">
        <f t="shared" si="6"/>
        <v>30996</v>
      </c>
      <c r="I107" s="605">
        <f t="shared" si="8"/>
        <v>31596</v>
      </c>
      <c r="J107" s="596"/>
      <c r="L107" s="531"/>
      <c r="R107" s="596"/>
    </row>
    <row r="108" spans="4:18" hidden="1" x14ac:dyDescent="0.2">
      <c r="D108" s="531"/>
      <c r="G108" s="602" t="s">
        <v>1977</v>
      </c>
      <c r="H108" s="604">
        <f t="shared" si="6"/>
        <v>29796</v>
      </c>
      <c r="I108" s="604">
        <f t="shared" si="8"/>
        <v>30396</v>
      </c>
      <c r="J108" s="596"/>
      <c r="L108" s="531"/>
      <c r="R108" s="596"/>
    </row>
    <row r="109" spans="4:18" hidden="1" x14ac:dyDescent="0.2">
      <c r="D109" s="531"/>
      <c r="G109" s="603" t="s">
        <v>1978</v>
      </c>
      <c r="H109" s="605">
        <f t="shared" si="6"/>
        <v>28596</v>
      </c>
      <c r="I109" s="605">
        <f t="shared" si="8"/>
        <v>29196</v>
      </c>
      <c r="J109" s="596"/>
      <c r="L109" s="531"/>
      <c r="R109" s="596"/>
    </row>
    <row r="110" spans="4:18" hidden="1" x14ac:dyDescent="0.2">
      <c r="D110" s="531"/>
      <c r="G110" s="602" t="s">
        <v>1979</v>
      </c>
      <c r="H110" s="604">
        <f t="shared" si="6"/>
        <v>27396</v>
      </c>
      <c r="I110" s="604">
        <f t="shared" si="8"/>
        <v>27996</v>
      </c>
      <c r="J110" s="596"/>
      <c r="L110" s="531"/>
      <c r="R110" s="596"/>
    </row>
    <row r="111" spans="4:18" hidden="1" x14ac:dyDescent="0.2">
      <c r="D111" s="531"/>
      <c r="G111" s="603" t="s">
        <v>1980</v>
      </c>
      <c r="H111" s="605">
        <f t="shared" si="6"/>
        <v>26196</v>
      </c>
      <c r="I111" s="605">
        <f t="shared" si="8"/>
        <v>26796</v>
      </c>
      <c r="J111" s="596"/>
      <c r="L111" s="531"/>
      <c r="R111" s="596"/>
    </row>
    <row r="112" spans="4:18" hidden="1" x14ac:dyDescent="0.2">
      <c r="D112" s="531"/>
      <c r="G112" s="602" t="s">
        <v>1981</v>
      </c>
      <c r="H112" s="604">
        <f t="shared" si="6"/>
        <v>24996</v>
      </c>
      <c r="I112" s="604">
        <f t="shared" si="8"/>
        <v>25596</v>
      </c>
      <c r="J112" s="596"/>
      <c r="L112" s="531"/>
      <c r="R112" s="596"/>
    </row>
    <row r="113" spans="4:18" hidden="1" x14ac:dyDescent="0.2">
      <c r="D113" s="531"/>
      <c r="G113" s="603" t="s">
        <v>1982</v>
      </c>
      <c r="H113" s="605">
        <f t="shared" si="6"/>
        <v>24288</v>
      </c>
      <c r="I113" s="605">
        <f t="shared" si="8"/>
        <v>24642</v>
      </c>
      <c r="J113" s="596"/>
      <c r="L113" s="531"/>
      <c r="R113" s="596"/>
    </row>
    <row r="114" spans="4:18" hidden="1" x14ac:dyDescent="0.2">
      <c r="D114" s="531"/>
      <c r="G114" s="602" t="s">
        <v>1983</v>
      </c>
      <c r="H114" s="604">
        <f t="shared" si="6"/>
        <v>23580</v>
      </c>
      <c r="I114" s="604">
        <f t="shared" si="8"/>
        <v>23934</v>
      </c>
      <c r="J114" s="596"/>
      <c r="L114" s="531"/>
      <c r="R114" s="596"/>
    </row>
    <row r="115" spans="4:18" hidden="1" x14ac:dyDescent="0.2">
      <c r="D115" s="531"/>
      <c r="G115" s="603" t="s">
        <v>1984</v>
      </c>
      <c r="H115" s="605">
        <f t="shared" si="6"/>
        <v>22872</v>
      </c>
      <c r="I115" s="605">
        <f t="shared" si="8"/>
        <v>23226</v>
      </c>
      <c r="J115" s="596"/>
      <c r="L115" s="531"/>
      <c r="R115" s="596"/>
    </row>
    <row r="116" spans="4:18" hidden="1" x14ac:dyDescent="0.2">
      <c r="D116" s="531"/>
      <c r="G116" s="602" t="s">
        <v>1985</v>
      </c>
      <c r="H116" s="604">
        <f t="shared" si="6"/>
        <v>22164</v>
      </c>
      <c r="I116" s="604">
        <f t="shared" si="8"/>
        <v>22518</v>
      </c>
      <c r="J116" s="596"/>
      <c r="L116" s="531"/>
      <c r="R116" s="596"/>
    </row>
    <row r="117" spans="4:18" hidden="1" x14ac:dyDescent="0.2">
      <c r="D117" s="531"/>
      <c r="G117" s="603" t="s">
        <v>1986</v>
      </c>
      <c r="H117" s="605">
        <f t="shared" si="6"/>
        <v>21456</v>
      </c>
      <c r="I117" s="605">
        <f t="shared" si="8"/>
        <v>21810</v>
      </c>
      <c r="J117" s="596"/>
      <c r="L117" s="531"/>
      <c r="R117" s="596"/>
    </row>
    <row r="118" spans="4:18" hidden="1" x14ac:dyDescent="0.2">
      <c r="D118" s="531"/>
      <c r="G118" s="602" t="s">
        <v>1987</v>
      </c>
      <c r="H118" s="604">
        <f t="shared" si="6"/>
        <v>20748</v>
      </c>
      <c r="I118" s="604">
        <f t="shared" si="8"/>
        <v>21102</v>
      </c>
      <c r="J118" s="596"/>
      <c r="L118" s="531"/>
      <c r="R118" s="596"/>
    </row>
    <row r="119" spans="4:18" hidden="1" x14ac:dyDescent="0.2">
      <c r="D119" s="531"/>
      <c r="G119" s="603" t="s">
        <v>1988</v>
      </c>
      <c r="H119" s="605">
        <f t="shared" si="6"/>
        <v>20304</v>
      </c>
      <c r="I119" s="605">
        <f t="shared" si="8"/>
        <v>20526</v>
      </c>
      <c r="J119" s="596"/>
      <c r="L119" s="531"/>
      <c r="R119" s="596"/>
    </row>
    <row r="120" spans="4:18" hidden="1" x14ac:dyDescent="0.2">
      <c r="D120" s="531"/>
      <c r="G120" s="602" t="s">
        <v>1989</v>
      </c>
      <c r="H120" s="604">
        <f t="shared" si="6"/>
        <v>19860</v>
      </c>
      <c r="I120" s="604">
        <f t="shared" si="8"/>
        <v>20082</v>
      </c>
      <c r="J120" s="596"/>
      <c r="L120" s="531"/>
      <c r="R120" s="596"/>
    </row>
    <row r="121" spans="4:18" hidden="1" x14ac:dyDescent="0.2">
      <c r="D121" s="531"/>
      <c r="G121" s="603" t="s">
        <v>1990</v>
      </c>
      <c r="H121" s="605">
        <f t="shared" si="6"/>
        <v>19416</v>
      </c>
      <c r="I121" s="605">
        <f t="shared" si="8"/>
        <v>19638</v>
      </c>
      <c r="J121" s="596"/>
      <c r="L121" s="531"/>
      <c r="R121" s="596"/>
    </row>
    <row r="122" spans="4:18" hidden="1" x14ac:dyDescent="0.2">
      <c r="D122" s="531"/>
      <c r="G122" s="602" t="s">
        <v>1991</v>
      </c>
      <c r="H122" s="604">
        <f t="shared" si="6"/>
        <v>18972</v>
      </c>
      <c r="I122" s="604">
        <f t="shared" si="8"/>
        <v>19194</v>
      </c>
      <c r="J122" s="596"/>
      <c r="L122" s="531"/>
      <c r="R122" s="596"/>
    </row>
    <row r="123" spans="4:18" hidden="1" x14ac:dyDescent="0.2">
      <c r="D123" s="531"/>
      <c r="G123" s="603" t="s">
        <v>1992</v>
      </c>
      <c r="H123" s="605">
        <f t="shared" si="6"/>
        <v>18528</v>
      </c>
      <c r="I123" s="605">
        <f t="shared" si="8"/>
        <v>18750</v>
      </c>
      <c r="J123" s="596"/>
      <c r="L123" s="531"/>
      <c r="R123" s="596"/>
    </row>
    <row r="124" spans="4:18" hidden="1" x14ac:dyDescent="0.2">
      <c r="D124" s="531"/>
      <c r="J124" s="596"/>
      <c r="L124" s="531"/>
    </row>
    <row r="125" spans="4:18" hidden="1" x14ac:dyDescent="0.2">
      <c r="D125" s="531"/>
      <c r="J125" s="596"/>
      <c r="L125" s="531"/>
    </row>
    <row r="126" spans="4:18" hidden="1" x14ac:dyDescent="0.2">
      <c r="D126" s="531"/>
      <c r="J126" s="596"/>
      <c r="L126" s="531"/>
    </row>
    <row r="127" spans="4:18" hidden="1" x14ac:dyDescent="0.2">
      <c r="D127" s="531"/>
      <c r="J127" s="596"/>
      <c r="L127" s="531"/>
    </row>
    <row r="128" spans="4:18" hidden="1" x14ac:dyDescent="0.2">
      <c r="D128" s="531"/>
      <c r="J128" s="596"/>
      <c r="L128" s="531"/>
    </row>
    <row r="129" spans="1:12" hidden="1" x14ac:dyDescent="0.2">
      <c r="D129" s="531"/>
      <c r="J129" s="596"/>
      <c r="L129" s="531"/>
    </row>
    <row r="130" spans="1:12" hidden="1" x14ac:dyDescent="0.2">
      <c r="D130" s="531"/>
      <c r="J130" s="596"/>
      <c r="L130" s="531"/>
    </row>
    <row r="131" spans="1:12" hidden="1" x14ac:dyDescent="0.2">
      <c r="D131" s="531"/>
      <c r="J131" s="596"/>
      <c r="L131" s="531"/>
    </row>
    <row r="132" spans="1:12" hidden="1" x14ac:dyDescent="0.2">
      <c r="D132" s="531"/>
      <c r="J132" s="596"/>
      <c r="L132" s="531"/>
    </row>
    <row r="133" spans="1:12" hidden="1" x14ac:dyDescent="0.2">
      <c r="D133" s="531"/>
      <c r="J133" s="596"/>
      <c r="L133" s="531"/>
    </row>
    <row r="134" spans="1:12" hidden="1" x14ac:dyDescent="0.2">
      <c r="D134" s="531"/>
      <c r="J134" s="596"/>
      <c r="L134" s="531"/>
    </row>
    <row r="135" spans="1:12" hidden="1" x14ac:dyDescent="0.2">
      <c r="D135" s="531"/>
      <c r="J135" s="596"/>
      <c r="L135" s="531"/>
    </row>
    <row r="136" spans="1:12" hidden="1" x14ac:dyDescent="0.2">
      <c r="D136" s="531"/>
      <c r="J136" s="596"/>
      <c r="L136" s="531"/>
    </row>
    <row r="137" spans="1:12" ht="15.75" hidden="1" x14ac:dyDescent="0.25">
      <c r="A137"/>
      <c r="B137"/>
      <c r="C137"/>
    </row>
    <row r="138" spans="1:12" ht="15.75" hidden="1" x14ac:dyDescent="0.25">
      <c r="A138"/>
      <c r="B138"/>
      <c r="C138"/>
    </row>
    <row r="139" spans="1:12" ht="15.75" hidden="1" x14ac:dyDescent="0.25">
      <c r="A139"/>
      <c r="B139"/>
      <c r="C139"/>
    </row>
    <row r="140" spans="1:12" ht="15.75" hidden="1" x14ac:dyDescent="0.25">
      <c r="A140"/>
      <c r="B140"/>
      <c r="C140"/>
    </row>
    <row r="141" spans="1:12" ht="15.75" hidden="1" x14ac:dyDescent="0.25">
      <c r="A141"/>
      <c r="B141"/>
      <c r="C141"/>
    </row>
    <row r="142" spans="1:12" ht="15.75" hidden="1" x14ac:dyDescent="0.25">
      <c r="A142"/>
      <c r="B142"/>
      <c r="C142"/>
    </row>
    <row r="143" spans="1:12" ht="15.75" hidden="1" x14ac:dyDescent="0.25">
      <c r="A143"/>
      <c r="B143"/>
      <c r="C143"/>
    </row>
    <row r="144" spans="1:12" ht="15.75" hidden="1" x14ac:dyDescent="0.25">
      <c r="A144"/>
      <c r="B144"/>
      <c r="C144"/>
    </row>
    <row r="145" spans="1:3" ht="15.75" hidden="1" x14ac:dyDescent="0.25">
      <c r="A145"/>
      <c r="B145"/>
      <c r="C145"/>
    </row>
    <row r="146" spans="1:3" ht="15.75" hidden="1" x14ac:dyDescent="0.25">
      <c r="A146"/>
      <c r="B146"/>
      <c r="C146"/>
    </row>
    <row r="147" spans="1:3" ht="15.75" hidden="1" x14ac:dyDescent="0.25">
      <c r="A147"/>
      <c r="B147"/>
      <c r="C147"/>
    </row>
    <row r="148" spans="1:3" ht="15.75" hidden="1" x14ac:dyDescent="0.25">
      <c r="A148"/>
      <c r="B148"/>
      <c r="C148"/>
    </row>
    <row r="149" spans="1:3" ht="15.75" hidden="1" x14ac:dyDescent="0.25">
      <c r="A149"/>
      <c r="B149"/>
      <c r="C149"/>
    </row>
    <row r="150" spans="1:3" ht="15.75" hidden="1" x14ac:dyDescent="0.25">
      <c r="A150"/>
      <c r="B150"/>
      <c r="C150"/>
    </row>
    <row r="151" spans="1:3" ht="15.75" hidden="1" x14ac:dyDescent="0.25">
      <c r="A151"/>
      <c r="B151"/>
      <c r="C151"/>
    </row>
    <row r="152" spans="1:3" ht="15.75" hidden="1" x14ac:dyDescent="0.25">
      <c r="A152"/>
      <c r="B152"/>
      <c r="C152"/>
    </row>
    <row r="153" spans="1:3" ht="15.75" hidden="1" x14ac:dyDescent="0.25">
      <c r="A153"/>
      <c r="B153"/>
      <c r="C153"/>
    </row>
    <row r="154" spans="1:3" ht="15.75" hidden="1" x14ac:dyDescent="0.25">
      <c r="A154"/>
      <c r="B154"/>
      <c r="C154"/>
    </row>
    <row r="155" spans="1:3" ht="15.75" hidden="1" x14ac:dyDescent="0.25">
      <c r="A155"/>
      <c r="B155"/>
      <c r="C155"/>
    </row>
    <row r="156" spans="1:3" ht="15.75" hidden="1" x14ac:dyDescent="0.25">
      <c r="A156"/>
      <c r="B156"/>
      <c r="C156"/>
    </row>
    <row r="157" spans="1:3" ht="15.75" hidden="1" x14ac:dyDescent="0.25">
      <c r="A157"/>
      <c r="B157"/>
      <c r="C157"/>
    </row>
    <row r="158" spans="1:3" ht="15.75" hidden="1" x14ac:dyDescent="0.25">
      <c r="A158"/>
      <c r="B158"/>
      <c r="C158"/>
    </row>
    <row r="159" spans="1:3" ht="15.75" hidden="1" x14ac:dyDescent="0.25">
      <c r="A159"/>
      <c r="B159"/>
      <c r="C159"/>
    </row>
    <row r="160" spans="1:3" ht="15.75" hidden="1" x14ac:dyDescent="0.25">
      <c r="A160"/>
      <c r="B160"/>
      <c r="C160"/>
    </row>
    <row r="161" spans="1:3" ht="15.75" hidden="1" x14ac:dyDescent="0.25">
      <c r="A161"/>
      <c r="B161"/>
      <c r="C161"/>
    </row>
    <row r="162" spans="1:3" ht="15.75" hidden="1" x14ac:dyDescent="0.25">
      <c r="A162"/>
      <c r="B162"/>
      <c r="C162"/>
    </row>
    <row r="163" spans="1:3" ht="15.75" hidden="1" x14ac:dyDescent="0.25">
      <c r="A163"/>
      <c r="B163"/>
      <c r="C163"/>
    </row>
    <row r="164" spans="1:3" ht="15.75" hidden="1" x14ac:dyDescent="0.25">
      <c r="A164"/>
      <c r="B164"/>
      <c r="C164"/>
    </row>
    <row r="165" spans="1:3" ht="15.75" hidden="1" x14ac:dyDescent="0.25">
      <c r="A165"/>
      <c r="B165"/>
      <c r="C165"/>
    </row>
    <row r="166" spans="1:3" ht="15.75" hidden="1" x14ac:dyDescent="0.25">
      <c r="A166"/>
      <c r="B166"/>
      <c r="C166"/>
    </row>
    <row r="167" spans="1:3" ht="15.75" hidden="1" x14ac:dyDescent="0.25">
      <c r="A167"/>
      <c r="B167"/>
      <c r="C167"/>
    </row>
    <row r="168" spans="1:3" ht="15.75" hidden="1" x14ac:dyDescent="0.25">
      <c r="A168"/>
      <c r="B168"/>
      <c r="C168"/>
    </row>
    <row r="169" spans="1:3" ht="15.75" hidden="1" x14ac:dyDescent="0.25">
      <c r="A169"/>
      <c r="B169"/>
      <c r="C169"/>
    </row>
    <row r="170" spans="1:3" ht="15.75" hidden="1" x14ac:dyDescent="0.25">
      <c r="A170"/>
      <c r="B170"/>
      <c r="C170"/>
    </row>
    <row r="171" spans="1:3" ht="15.75" hidden="1" x14ac:dyDescent="0.25">
      <c r="A171"/>
      <c r="B171"/>
      <c r="C171"/>
    </row>
    <row r="172" spans="1:3" ht="15.75" hidden="1" x14ac:dyDescent="0.25">
      <c r="A172"/>
      <c r="B172"/>
      <c r="C172"/>
    </row>
    <row r="173" spans="1:3" ht="15.75" hidden="1" x14ac:dyDescent="0.25">
      <c r="A173"/>
      <c r="B173"/>
      <c r="C173"/>
    </row>
    <row r="174" spans="1:3" ht="15.75" hidden="1" x14ac:dyDescent="0.25">
      <c r="A174"/>
      <c r="B174"/>
      <c r="C174"/>
    </row>
    <row r="175" spans="1:3" ht="15.75" hidden="1" x14ac:dyDescent="0.25">
      <c r="A175"/>
      <c r="B175"/>
      <c r="C175"/>
    </row>
    <row r="176" spans="1:3" ht="15.75" hidden="1" x14ac:dyDescent="0.25">
      <c r="A176"/>
      <c r="B176"/>
      <c r="C176"/>
    </row>
    <row r="177" spans="1:3" ht="15.75" hidden="1" x14ac:dyDescent="0.25">
      <c r="A177"/>
      <c r="B177"/>
      <c r="C177"/>
    </row>
    <row r="178" spans="1:3" ht="15.75" hidden="1" x14ac:dyDescent="0.25">
      <c r="A178"/>
      <c r="B178"/>
      <c r="C178"/>
    </row>
    <row r="179" spans="1:3" ht="15.75" hidden="1" x14ac:dyDescent="0.25">
      <c r="A179"/>
      <c r="B179"/>
      <c r="C179"/>
    </row>
    <row r="180" spans="1:3" ht="15.75" hidden="1" x14ac:dyDescent="0.25">
      <c r="A180"/>
      <c r="B180"/>
      <c r="C180"/>
    </row>
    <row r="181" spans="1:3" ht="15.75" hidden="1" x14ac:dyDescent="0.25">
      <c r="A181"/>
      <c r="B181"/>
      <c r="C181"/>
    </row>
    <row r="182" spans="1:3" ht="15.75" hidden="1" x14ac:dyDescent="0.25">
      <c r="A182"/>
      <c r="B182"/>
      <c r="C182"/>
    </row>
    <row r="183" spans="1:3" ht="15.75" hidden="1" x14ac:dyDescent="0.25">
      <c r="A183"/>
      <c r="B183"/>
      <c r="C183"/>
    </row>
    <row r="184" spans="1:3" ht="15.75" hidden="1" x14ac:dyDescent="0.25">
      <c r="A184"/>
      <c r="B184"/>
      <c r="C184"/>
    </row>
    <row r="185" spans="1:3" ht="15.75" hidden="1" x14ac:dyDescent="0.25">
      <c r="A185"/>
      <c r="B185"/>
      <c r="C185"/>
    </row>
    <row r="186" spans="1:3" ht="15.75" hidden="1" x14ac:dyDescent="0.25">
      <c r="A186"/>
      <c r="B186"/>
      <c r="C186"/>
    </row>
    <row r="187" spans="1:3" ht="15.75" hidden="1" x14ac:dyDescent="0.25">
      <c r="A187"/>
      <c r="B187"/>
      <c r="C187"/>
    </row>
    <row r="188" spans="1:3" ht="15.75" hidden="1" x14ac:dyDescent="0.25">
      <c r="A188"/>
      <c r="B188"/>
      <c r="C188"/>
    </row>
    <row r="189" spans="1:3" ht="15.75" hidden="1" x14ac:dyDescent="0.25">
      <c r="A189"/>
      <c r="B189"/>
      <c r="C189"/>
    </row>
    <row r="190" spans="1:3" ht="15.75" hidden="1" x14ac:dyDescent="0.25">
      <c r="A190"/>
      <c r="B190"/>
      <c r="C190"/>
    </row>
    <row r="191" spans="1:3" ht="15.75" hidden="1" x14ac:dyDescent="0.25">
      <c r="A191"/>
      <c r="B191"/>
      <c r="C191"/>
    </row>
    <row r="192" spans="1:3" ht="15.75" hidden="1" x14ac:dyDescent="0.25">
      <c r="A192"/>
      <c r="B192"/>
      <c r="C192"/>
    </row>
    <row r="193" spans="1:3" ht="15.75" hidden="1" x14ac:dyDescent="0.25">
      <c r="A193"/>
      <c r="B193"/>
      <c r="C193"/>
    </row>
    <row r="194" spans="1:3" ht="15.75" hidden="1" x14ac:dyDescent="0.25">
      <c r="A194"/>
      <c r="B194"/>
      <c r="C194"/>
    </row>
    <row r="195" spans="1:3" ht="15.75" hidden="1" x14ac:dyDescent="0.25">
      <c r="A195"/>
      <c r="B195"/>
      <c r="C195"/>
    </row>
    <row r="196" spans="1:3" ht="15.75" hidden="1" x14ac:dyDescent="0.25">
      <c r="A196"/>
      <c r="B196"/>
      <c r="C196"/>
    </row>
    <row r="197" spans="1:3" ht="15.75" hidden="1" x14ac:dyDescent="0.25">
      <c r="A197"/>
      <c r="B197"/>
      <c r="C197"/>
    </row>
    <row r="198" spans="1:3" ht="15.75" hidden="1" x14ac:dyDescent="0.25">
      <c r="A198"/>
      <c r="B198"/>
      <c r="C198"/>
    </row>
    <row r="199" spans="1:3" ht="15.75" hidden="1" x14ac:dyDescent="0.25">
      <c r="A199"/>
      <c r="B199"/>
      <c r="C199"/>
    </row>
    <row r="200" spans="1:3" ht="15.75" hidden="1" x14ac:dyDescent="0.25">
      <c r="A200"/>
      <c r="B200"/>
      <c r="C200"/>
    </row>
    <row r="201" spans="1:3" ht="15.75" hidden="1" x14ac:dyDescent="0.25">
      <c r="A201"/>
      <c r="B201"/>
      <c r="C201"/>
    </row>
    <row r="202" spans="1:3" ht="15.75" hidden="1" x14ac:dyDescent="0.25">
      <c r="A202"/>
      <c r="B202"/>
      <c r="C202"/>
    </row>
    <row r="203" spans="1:3" ht="15.75" hidden="1" x14ac:dyDescent="0.25">
      <c r="A203"/>
      <c r="B203"/>
      <c r="C203"/>
    </row>
    <row r="204" spans="1:3" ht="15.75" hidden="1" x14ac:dyDescent="0.25">
      <c r="A204"/>
      <c r="B204"/>
      <c r="C204"/>
    </row>
    <row r="205" spans="1:3" ht="15.75" hidden="1" x14ac:dyDescent="0.25">
      <c r="A205"/>
      <c r="B205"/>
      <c r="C205"/>
    </row>
    <row r="206" spans="1:3" ht="15.75" hidden="1" x14ac:dyDescent="0.25">
      <c r="A206"/>
      <c r="B206"/>
      <c r="C206"/>
    </row>
    <row r="207" spans="1:3" ht="15.75" hidden="1" x14ac:dyDescent="0.25">
      <c r="A207"/>
      <c r="B207"/>
      <c r="C207"/>
    </row>
    <row r="208" spans="1:3" ht="15.75" hidden="1" x14ac:dyDescent="0.25">
      <c r="A208"/>
      <c r="B208"/>
      <c r="C208"/>
    </row>
    <row r="209" spans="1:3" ht="15.75" hidden="1" x14ac:dyDescent="0.25">
      <c r="A209"/>
      <c r="B209"/>
      <c r="C209"/>
    </row>
    <row r="210" spans="1:3" ht="15.75" hidden="1" x14ac:dyDescent="0.25">
      <c r="A210"/>
      <c r="B210"/>
      <c r="C210"/>
    </row>
    <row r="211" spans="1:3" ht="15.75" hidden="1" x14ac:dyDescent="0.25">
      <c r="A211"/>
      <c r="B211"/>
      <c r="C211"/>
    </row>
    <row r="212" spans="1:3" ht="15.75" hidden="1" x14ac:dyDescent="0.25">
      <c r="A212"/>
      <c r="B212"/>
      <c r="C212"/>
    </row>
    <row r="213" spans="1:3" ht="15.75" hidden="1" x14ac:dyDescent="0.25">
      <c r="A213"/>
      <c r="B213"/>
      <c r="C213"/>
    </row>
    <row r="214" spans="1:3" ht="15.75" hidden="1" x14ac:dyDescent="0.25">
      <c r="A214"/>
      <c r="B214"/>
      <c r="C214"/>
    </row>
    <row r="215" spans="1:3" ht="15.75" hidden="1" x14ac:dyDescent="0.25">
      <c r="A215"/>
      <c r="B215"/>
      <c r="C215"/>
    </row>
    <row r="216" spans="1:3" ht="15.75" hidden="1" x14ac:dyDescent="0.25">
      <c r="A216"/>
      <c r="B216"/>
      <c r="C216"/>
    </row>
    <row r="217" spans="1:3" ht="15.75" hidden="1" x14ac:dyDescent="0.25">
      <c r="A217"/>
      <c r="B217"/>
      <c r="C217"/>
    </row>
    <row r="218" spans="1:3" ht="15.75" hidden="1" x14ac:dyDescent="0.25">
      <c r="A218"/>
      <c r="B218"/>
      <c r="C218"/>
    </row>
    <row r="219" spans="1:3" ht="15.75" hidden="1" x14ac:dyDescent="0.25">
      <c r="A219"/>
      <c r="B219"/>
      <c r="C219"/>
    </row>
    <row r="220" spans="1:3" ht="15.75" hidden="1" x14ac:dyDescent="0.25">
      <c r="A220"/>
      <c r="B220"/>
      <c r="C220"/>
    </row>
    <row r="221" spans="1:3" ht="15.75" hidden="1" x14ac:dyDescent="0.25">
      <c r="A221"/>
      <c r="B221"/>
      <c r="C221"/>
    </row>
    <row r="222" spans="1:3" ht="15.75" hidden="1" x14ac:dyDescent="0.25">
      <c r="A222"/>
      <c r="B222"/>
      <c r="C222"/>
    </row>
    <row r="223" spans="1:3" ht="15.75" hidden="1" x14ac:dyDescent="0.25">
      <c r="A223"/>
      <c r="B223"/>
      <c r="C223"/>
    </row>
    <row r="224" spans="1:3" ht="15.75" hidden="1" x14ac:dyDescent="0.25">
      <c r="A224"/>
      <c r="B224"/>
      <c r="C224"/>
    </row>
    <row r="225" spans="1:3" ht="15.75" hidden="1" x14ac:dyDescent="0.25">
      <c r="A225"/>
      <c r="B225"/>
      <c r="C225"/>
    </row>
    <row r="226" spans="1:3" ht="15.75" hidden="1" x14ac:dyDescent="0.25">
      <c r="A226"/>
      <c r="B226"/>
      <c r="C226"/>
    </row>
    <row r="227" spans="1:3" ht="15.75" hidden="1" x14ac:dyDescent="0.25">
      <c r="A227"/>
      <c r="B227"/>
      <c r="C227"/>
    </row>
    <row r="228" spans="1:3" ht="15.75" hidden="1" x14ac:dyDescent="0.25">
      <c r="A228"/>
      <c r="B228"/>
      <c r="C228"/>
    </row>
    <row r="229" spans="1:3" ht="15.75" hidden="1" x14ac:dyDescent="0.25">
      <c r="A229"/>
      <c r="B229"/>
      <c r="C229"/>
    </row>
    <row r="230" spans="1:3" ht="15.75" hidden="1" x14ac:dyDescent="0.25">
      <c r="A230"/>
      <c r="B230"/>
      <c r="C230"/>
    </row>
    <row r="231" spans="1:3" ht="15.75" hidden="1" x14ac:dyDescent="0.25">
      <c r="A231"/>
      <c r="B231"/>
      <c r="C231"/>
    </row>
    <row r="232" spans="1:3" ht="15.75" hidden="1" x14ac:dyDescent="0.25">
      <c r="A232"/>
      <c r="B232"/>
      <c r="C232"/>
    </row>
    <row r="233" spans="1:3" ht="15.75" hidden="1" x14ac:dyDescent="0.25">
      <c r="A233"/>
      <c r="B233"/>
      <c r="C233"/>
    </row>
    <row r="234" spans="1:3" ht="15.75" hidden="1" x14ac:dyDescent="0.25">
      <c r="A234"/>
      <c r="B234"/>
      <c r="C234"/>
    </row>
    <row r="235" spans="1:3" ht="15.75" hidden="1" x14ac:dyDescent="0.25">
      <c r="A235"/>
      <c r="B235"/>
      <c r="C235"/>
    </row>
    <row r="236" spans="1:3" ht="15.75" hidden="1" x14ac:dyDescent="0.25">
      <c r="A236"/>
      <c r="B236"/>
      <c r="C236"/>
    </row>
    <row r="237" spans="1:3" ht="15.75" x14ac:dyDescent="0.25">
      <c r="A237"/>
      <c r="B237"/>
      <c r="C237"/>
    </row>
    <row r="238" spans="1:3" ht="15.75" x14ac:dyDescent="0.25">
      <c r="A238"/>
      <c r="B238"/>
      <c r="C238"/>
    </row>
    <row r="239" spans="1:3" ht="15.75" x14ac:dyDescent="0.25">
      <c r="A239"/>
      <c r="B239"/>
      <c r="C239"/>
    </row>
    <row r="240" spans="1:3" ht="15.75" x14ac:dyDescent="0.25">
      <c r="A240"/>
      <c r="B240"/>
      <c r="C240"/>
    </row>
  </sheetData>
  <printOptions horizontalCentered="1"/>
  <pageMargins left="0.25" right="0.25" top="0.71" bottom="0.37777777777777799" header="0.27" footer="0"/>
  <pageSetup scale="80" orientation="portrait" r:id="rId1"/>
  <headerFooter alignWithMargins="0">
    <oddHeader>&amp;C 71</oddHeader>
  </headerFooter>
  <rowBreaks count="1" manualBreakCount="1">
    <brk id="63" min="1" max="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9"/>
  <sheetViews>
    <sheetView workbookViewId="0">
      <selection activeCell="B1" sqref="B1"/>
    </sheetView>
  </sheetViews>
  <sheetFormatPr defaultRowHeight="15" x14ac:dyDescent="0.2"/>
  <cols>
    <col min="1" max="1" width="9.5703125" style="617" customWidth="1"/>
    <col min="2" max="2" width="51" style="617" customWidth="1"/>
    <col min="3" max="3" width="15" style="617" customWidth="1"/>
    <col min="4" max="4" width="50.7109375" style="617" customWidth="1"/>
    <col min="5" max="5" width="9.140625" style="616"/>
    <col min="6" max="255" width="9.140625" style="617"/>
    <col min="256" max="256" width="9.5703125" style="617" customWidth="1"/>
    <col min="257" max="257" width="46" style="617" customWidth="1"/>
    <col min="258" max="258" width="15" style="617" customWidth="1"/>
    <col min="259" max="259" width="44" style="617" customWidth="1"/>
    <col min="260" max="260" width="16.42578125" style="617" customWidth="1"/>
    <col min="261" max="511" width="9.140625" style="617"/>
    <col min="512" max="512" width="9.5703125" style="617" customWidth="1"/>
    <col min="513" max="513" width="46" style="617" customWidth="1"/>
    <col min="514" max="514" width="15" style="617" customWidth="1"/>
    <col min="515" max="515" width="44" style="617" customWidth="1"/>
    <col min="516" max="516" width="16.42578125" style="617" customWidth="1"/>
    <col min="517" max="767" width="9.140625" style="617"/>
    <col min="768" max="768" width="9.5703125" style="617" customWidth="1"/>
    <col min="769" max="769" width="46" style="617" customWidth="1"/>
    <col min="770" max="770" width="15" style="617" customWidth="1"/>
    <col min="771" max="771" width="44" style="617" customWidth="1"/>
    <col min="772" max="772" width="16.42578125" style="617" customWidth="1"/>
    <col min="773" max="1023" width="9.140625" style="617"/>
    <col min="1024" max="1024" width="9.5703125" style="617" customWidth="1"/>
    <col min="1025" max="1025" width="46" style="617" customWidth="1"/>
    <col min="1026" max="1026" width="15" style="617" customWidth="1"/>
    <col min="1027" max="1027" width="44" style="617" customWidth="1"/>
    <col min="1028" max="1028" width="16.42578125" style="617" customWidth="1"/>
    <col min="1029" max="1279" width="9.140625" style="617"/>
    <col min="1280" max="1280" width="9.5703125" style="617" customWidth="1"/>
    <col min="1281" max="1281" width="46" style="617" customWidth="1"/>
    <col min="1282" max="1282" width="15" style="617" customWidth="1"/>
    <col min="1283" max="1283" width="44" style="617" customWidth="1"/>
    <col min="1284" max="1284" width="16.42578125" style="617" customWidth="1"/>
    <col min="1285" max="1535" width="9.140625" style="617"/>
    <col min="1536" max="1536" width="9.5703125" style="617" customWidth="1"/>
    <col min="1537" max="1537" width="46" style="617" customWidth="1"/>
    <col min="1538" max="1538" width="15" style="617" customWidth="1"/>
    <col min="1539" max="1539" width="44" style="617" customWidth="1"/>
    <col min="1540" max="1540" width="16.42578125" style="617" customWidth="1"/>
    <col min="1541" max="1791" width="9.140625" style="617"/>
    <col min="1792" max="1792" width="9.5703125" style="617" customWidth="1"/>
    <col min="1793" max="1793" width="46" style="617" customWidth="1"/>
    <col min="1794" max="1794" width="15" style="617" customWidth="1"/>
    <col min="1795" max="1795" width="44" style="617" customWidth="1"/>
    <col min="1796" max="1796" width="16.42578125" style="617" customWidth="1"/>
    <col min="1797" max="2047" width="9.140625" style="617"/>
    <col min="2048" max="2048" width="9.5703125" style="617" customWidth="1"/>
    <col min="2049" max="2049" width="46" style="617" customWidth="1"/>
    <col min="2050" max="2050" width="15" style="617" customWidth="1"/>
    <col min="2051" max="2051" width="44" style="617" customWidth="1"/>
    <col min="2052" max="2052" width="16.42578125" style="617" customWidth="1"/>
    <col min="2053" max="2303" width="9.140625" style="617"/>
    <col min="2304" max="2304" width="9.5703125" style="617" customWidth="1"/>
    <col min="2305" max="2305" width="46" style="617" customWidth="1"/>
    <col min="2306" max="2306" width="15" style="617" customWidth="1"/>
    <col min="2307" max="2307" width="44" style="617" customWidth="1"/>
    <col min="2308" max="2308" width="16.42578125" style="617" customWidth="1"/>
    <col min="2309" max="2559" width="9.140625" style="617"/>
    <col min="2560" max="2560" width="9.5703125" style="617" customWidth="1"/>
    <col min="2561" max="2561" width="46" style="617" customWidth="1"/>
    <col min="2562" max="2562" width="15" style="617" customWidth="1"/>
    <col min="2563" max="2563" width="44" style="617" customWidth="1"/>
    <col min="2564" max="2564" width="16.42578125" style="617" customWidth="1"/>
    <col min="2565" max="2815" width="9.140625" style="617"/>
    <col min="2816" max="2816" width="9.5703125" style="617" customWidth="1"/>
    <col min="2817" max="2817" width="46" style="617" customWidth="1"/>
    <col min="2818" max="2818" width="15" style="617" customWidth="1"/>
    <col min="2819" max="2819" width="44" style="617" customWidth="1"/>
    <col min="2820" max="2820" width="16.42578125" style="617" customWidth="1"/>
    <col min="2821" max="3071" width="9.140625" style="617"/>
    <col min="3072" max="3072" width="9.5703125" style="617" customWidth="1"/>
    <col min="3073" max="3073" width="46" style="617" customWidth="1"/>
    <col min="3074" max="3074" width="15" style="617" customWidth="1"/>
    <col min="3075" max="3075" width="44" style="617" customWidth="1"/>
    <col min="3076" max="3076" width="16.42578125" style="617" customWidth="1"/>
    <col min="3077" max="3327" width="9.140625" style="617"/>
    <col min="3328" max="3328" width="9.5703125" style="617" customWidth="1"/>
    <col min="3329" max="3329" width="46" style="617" customWidth="1"/>
    <col min="3330" max="3330" width="15" style="617" customWidth="1"/>
    <col min="3331" max="3331" width="44" style="617" customWidth="1"/>
    <col min="3332" max="3332" width="16.42578125" style="617" customWidth="1"/>
    <col min="3333" max="3583" width="9.140625" style="617"/>
    <col min="3584" max="3584" width="9.5703125" style="617" customWidth="1"/>
    <col min="3585" max="3585" width="46" style="617" customWidth="1"/>
    <col min="3586" max="3586" width="15" style="617" customWidth="1"/>
    <col min="3587" max="3587" width="44" style="617" customWidth="1"/>
    <col min="3588" max="3588" width="16.42578125" style="617" customWidth="1"/>
    <col min="3589" max="3839" width="9.140625" style="617"/>
    <col min="3840" max="3840" width="9.5703125" style="617" customWidth="1"/>
    <col min="3841" max="3841" width="46" style="617" customWidth="1"/>
    <col min="3842" max="3842" width="15" style="617" customWidth="1"/>
    <col min="3843" max="3843" width="44" style="617" customWidth="1"/>
    <col min="3844" max="3844" width="16.42578125" style="617" customWidth="1"/>
    <col min="3845" max="4095" width="9.140625" style="617"/>
    <col min="4096" max="4096" width="9.5703125" style="617" customWidth="1"/>
    <col min="4097" max="4097" width="46" style="617" customWidth="1"/>
    <col min="4098" max="4098" width="15" style="617" customWidth="1"/>
    <col min="4099" max="4099" width="44" style="617" customWidth="1"/>
    <col min="4100" max="4100" width="16.42578125" style="617" customWidth="1"/>
    <col min="4101" max="4351" width="9.140625" style="617"/>
    <col min="4352" max="4352" width="9.5703125" style="617" customWidth="1"/>
    <col min="4353" max="4353" width="46" style="617" customWidth="1"/>
    <col min="4354" max="4354" width="15" style="617" customWidth="1"/>
    <col min="4355" max="4355" width="44" style="617" customWidth="1"/>
    <col min="4356" max="4356" width="16.42578125" style="617" customWidth="1"/>
    <col min="4357" max="4607" width="9.140625" style="617"/>
    <col min="4608" max="4608" width="9.5703125" style="617" customWidth="1"/>
    <col min="4609" max="4609" width="46" style="617" customWidth="1"/>
    <col min="4610" max="4610" width="15" style="617" customWidth="1"/>
    <col min="4611" max="4611" width="44" style="617" customWidth="1"/>
    <col min="4612" max="4612" width="16.42578125" style="617" customWidth="1"/>
    <col min="4613" max="4863" width="9.140625" style="617"/>
    <col min="4864" max="4864" width="9.5703125" style="617" customWidth="1"/>
    <col min="4865" max="4865" width="46" style="617" customWidth="1"/>
    <col min="4866" max="4866" width="15" style="617" customWidth="1"/>
    <col min="4867" max="4867" width="44" style="617" customWidth="1"/>
    <col min="4868" max="4868" width="16.42578125" style="617" customWidth="1"/>
    <col min="4869" max="5119" width="9.140625" style="617"/>
    <col min="5120" max="5120" width="9.5703125" style="617" customWidth="1"/>
    <col min="5121" max="5121" width="46" style="617" customWidth="1"/>
    <col min="5122" max="5122" width="15" style="617" customWidth="1"/>
    <col min="5123" max="5123" width="44" style="617" customWidth="1"/>
    <col min="5124" max="5124" width="16.42578125" style="617" customWidth="1"/>
    <col min="5125" max="5375" width="9.140625" style="617"/>
    <col min="5376" max="5376" width="9.5703125" style="617" customWidth="1"/>
    <col min="5377" max="5377" width="46" style="617" customWidth="1"/>
    <col min="5378" max="5378" width="15" style="617" customWidth="1"/>
    <col min="5379" max="5379" width="44" style="617" customWidth="1"/>
    <col min="5380" max="5380" width="16.42578125" style="617" customWidth="1"/>
    <col min="5381" max="5631" width="9.140625" style="617"/>
    <col min="5632" max="5632" width="9.5703125" style="617" customWidth="1"/>
    <col min="5633" max="5633" width="46" style="617" customWidth="1"/>
    <col min="5634" max="5634" width="15" style="617" customWidth="1"/>
    <col min="5635" max="5635" width="44" style="617" customWidth="1"/>
    <col min="5636" max="5636" width="16.42578125" style="617" customWidth="1"/>
    <col min="5637" max="5887" width="9.140625" style="617"/>
    <col min="5888" max="5888" width="9.5703125" style="617" customWidth="1"/>
    <col min="5889" max="5889" width="46" style="617" customWidth="1"/>
    <col min="5890" max="5890" width="15" style="617" customWidth="1"/>
    <col min="5891" max="5891" width="44" style="617" customWidth="1"/>
    <col min="5892" max="5892" width="16.42578125" style="617" customWidth="1"/>
    <col min="5893" max="6143" width="9.140625" style="617"/>
    <col min="6144" max="6144" width="9.5703125" style="617" customWidth="1"/>
    <col min="6145" max="6145" width="46" style="617" customWidth="1"/>
    <col min="6146" max="6146" width="15" style="617" customWidth="1"/>
    <col min="6147" max="6147" width="44" style="617" customWidth="1"/>
    <col min="6148" max="6148" width="16.42578125" style="617" customWidth="1"/>
    <col min="6149" max="6399" width="9.140625" style="617"/>
    <col min="6400" max="6400" width="9.5703125" style="617" customWidth="1"/>
    <col min="6401" max="6401" width="46" style="617" customWidth="1"/>
    <col min="6402" max="6402" width="15" style="617" customWidth="1"/>
    <col min="6403" max="6403" width="44" style="617" customWidth="1"/>
    <col min="6404" max="6404" width="16.42578125" style="617" customWidth="1"/>
    <col min="6405" max="6655" width="9.140625" style="617"/>
    <col min="6656" max="6656" width="9.5703125" style="617" customWidth="1"/>
    <col min="6657" max="6657" width="46" style="617" customWidth="1"/>
    <col min="6658" max="6658" width="15" style="617" customWidth="1"/>
    <col min="6659" max="6659" width="44" style="617" customWidth="1"/>
    <col min="6660" max="6660" width="16.42578125" style="617" customWidth="1"/>
    <col min="6661" max="6911" width="9.140625" style="617"/>
    <col min="6912" max="6912" width="9.5703125" style="617" customWidth="1"/>
    <col min="6913" max="6913" width="46" style="617" customWidth="1"/>
    <col min="6914" max="6914" width="15" style="617" customWidth="1"/>
    <col min="6915" max="6915" width="44" style="617" customWidth="1"/>
    <col min="6916" max="6916" width="16.42578125" style="617" customWidth="1"/>
    <col min="6917" max="7167" width="9.140625" style="617"/>
    <col min="7168" max="7168" width="9.5703125" style="617" customWidth="1"/>
    <col min="7169" max="7169" width="46" style="617" customWidth="1"/>
    <col min="7170" max="7170" width="15" style="617" customWidth="1"/>
    <col min="7171" max="7171" width="44" style="617" customWidth="1"/>
    <col min="7172" max="7172" width="16.42578125" style="617" customWidth="1"/>
    <col min="7173" max="7423" width="9.140625" style="617"/>
    <col min="7424" max="7424" width="9.5703125" style="617" customWidth="1"/>
    <col min="7425" max="7425" width="46" style="617" customWidth="1"/>
    <col min="7426" max="7426" width="15" style="617" customWidth="1"/>
    <col min="7427" max="7427" width="44" style="617" customWidth="1"/>
    <col min="7428" max="7428" width="16.42578125" style="617" customWidth="1"/>
    <col min="7429" max="7679" width="9.140625" style="617"/>
    <col min="7680" max="7680" width="9.5703125" style="617" customWidth="1"/>
    <col min="7681" max="7681" width="46" style="617" customWidth="1"/>
    <col min="7682" max="7682" width="15" style="617" customWidth="1"/>
    <col min="7683" max="7683" width="44" style="617" customWidth="1"/>
    <col min="7684" max="7684" width="16.42578125" style="617" customWidth="1"/>
    <col min="7685" max="7935" width="9.140625" style="617"/>
    <col min="7936" max="7936" width="9.5703125" style="617" customWidth="1"/>
    <col min="7937" max="7937" width="46" style="617" customWidth="1"/>
    <col min="7938" max="7938" width="15" style="617" customWidth="1"/>
    <col min="7939" max="7939" width="44" style="617" customWidth="1"/>
    <col min="7940" max="7940" width="16.42578125" style="617" customWidth="1"/>
    <col min="7941" max="8191" width="9.140625" style="617"/>
    <col min="8192" max="8192" width="9.5703125" style="617" customWidth="1"/>
    <col min="8193" max="8193" width="46" style="617" customWidth="1"/>
    <col min="8194" max="8194" width="15" style="617" customWidth="1"/>
    <col min="8195" max="8195" width="44" style="617" customWidth="1"/>
    <col min="8196" max="8196" width="16.42578125" style="617" customWidth="1"/>
    <col min="8197" max="8447" width="9.140625" style="617"/>
    <col min="8448" max="8448" width="9.5703125" style="617" customWidth="1"/>
    <col min="8449" max="8449" width="46" style="617" customWidth="1"/>
    <col min="8450" max="8450" width="15" style="617" customWidth="1"/>
    <col min="8451" max="8451" width="44" style="617" customWidth="1"/>
    <col min="8452" max="8452" width="16.42578125" style="617" customWidth="1"/>
    <col min="8453" max="8703" width="9.140625" style="617"/>
    <col min="8704" max="8704" width="9.5703125" style="617" customWidth="1"/>
    <col min="8705" max="8705" width="46" style="617" customWidth="1"/>
    <col min="8706" max="8706" width="15" style="617" customWidth="1"/>
    <col min="8707" max="8707" width="44" style="617" customWidth="1"/>
    <col min="8708" max="8708" width="16.42578125" style="617" customWidth="1"/>
    <col min="8709" max="8959" width="9.140625" style="617"/>
    <col min="8960" max="8960" width="9.5703125" style="617" customWidth="1"/>
    <col min="8961" max="8961" width="46" style="617" customWidth="1"/>
    <col min="8962" max="8962" width="15" style="617" customWidth="1"/>
    <col min="8963" max="8963" width="44" style="617" customWidth="1"/>
    <col min="8964" max="8964" width="16.42578125" style="617" customWidth="1"/>
    <col min="8965" max="9215" width="9.140625" style="617"/>
    <col min="9216" max="9216" width="9.5703125" style="617" customWidth="1"/>
    <col min="9217" max="9217" width="46" style="617" customWidth="1"/>
    <col min="9218" max="9218" width="15" style="617" customWidth="1"/>
    <col min="9219" max="9219" width="44" style="617" customWidth="1"/>
    <col min="9220" max="9220" width="16.42578125" style="617" customWidth="1"/>
    <col min="9221" max="9471" width="9.140625" style="617"/>
    <col min="9472" max="9472" width="9.5703125" style="617" customWidth="1"/>
    <col min="9473" max="9473" width="46" style="617" customWidth="1"/>
    <col min="9474" max="9474" width="15" style="617" customWidth="1"/>
    <col min="9475" max="9475" width="44" style="617" customWidth="1"/>
    <col min="9476" max="9476" width="16.42578125" style="617" customWidth="1"/>
    <col min="9477" max="9727" width="9.140625" style="617"/>
    <col min="9728" max="9728" width="9.5703125" style="617" customWidth="1"/>
    <col min="9729" max="9729" width="46" style="617" customWidth="1"/>
    <col min="9730" max="9730" width="15" style="617" customWidth="1"/>
    <col min="9731" max="9731" width="44" style="617" customWidth="1"/>
    <col min="9732" max="9732" width="16.42578125" style="617" customWidth="1"/>
    <col min="9733" max="9983" width="9.140625" style="617"/>
    <col min="9984" max="9984" width="9.5703125" style="617" customWidth="1"/>
    <col min="9985" max="9985" width="46" style="617" customWidth="1"/>
    <col min="9986" max="9986" width="15" style="617" customWidth="1"/>
    <col min="9987" max="9987" width="44" style="617" customWidth="1"/>
    <col min="9988" max="9988" width="16.42578125" style="617" customWidth="1"/>
    <col min="9989" max="10239" width="9.140625" style="617"/>
    <col min="10240" max="10240" width="9.5703125" style="617" customWidth="1"/>
    <col min="10241" max="10241" width="46" style="617" customWidth="1"/>
    <col min="10242" max="10242" width="15" style="617" customWidth="1"/>
    <col min="10243" max="10243" width="44" style="617" customWidth="1"/>
    <col min="10244" max="10244" width="16.42578125" style="617" customWidth="1"/>
    <col min="10245" max="10495" width="9.140625" style="617"/>
    <col min="10496" max="10496" width="9.5703125" style="617" customWidth="1"/>
    <col min="10497" max="10497" width="46" style="617" customWidth="1"/>
    <col min="10498" max="10498" width="15" style="617" customWidth="1"/>
    <col min="10499" max="10499" width="44" style="617" customWidth="1"/>
    <col min="10500" max="10500" width="16.42578125" style="617" customWidth="1"/>
    <col min="10501" max="10751" width="9.140625" style="617"/>
    <col min="10752" max="10752" width="9.5703125" style="617" customWidth="1"/>
    <col min="10753" max="10753" width="46" style="617" customWidth="1"/>
    <col min="10754" max="10754" width="15" style="617" customWidth="1"/>
    <col min="10755" max="10755" width="44" style="617" customWidth="1"/>
    <col min="10756" max="10756" width="16.42578125" style="617" customWidth="1"/>
    <col min="10757" max="11007" width="9.140625" style="617"/>
    <col min="11008" max="11008" width="9.5703125" style="617" customWidth="1"/>
    <col min="11009" max="11009" width="46" style="617" customWidth="1"/>
    <col min="11010" max="11010" width="15" style="617" customWidth="1"/>
    <col min="11011" max="11011" width="44" style="617" customWidth="1"/>
    <col min="11012" max="11012" width="16.42578125" style="617" customWidth="1"/>
    <col min="11013" max="11263" width="9.140625" style="617"/>
    <col min="11264" max="11264" width="9.5703125" style="617" customWidth="1"/>
    <col min="11265" max="11265" width="46" style="617" customWidth="1"/>
    <col min="11266" max="11266" width="15" style="617" customWidth="1"/>
    <col min="11267" max="11267" width="44" style="617" customWidth="1"/>
    <col min="11268" max="11268" width="16.42578125" style="617" customWidth="1"/>
    <col min="11269" max="11519" width="9.140625" style="617"/>
    <col min="11520" max="11520" width="9.5703125" style="617" customWidth="1"/>
    <col min="11521" max="11521" width="46" style="617" customWidth="1"/>
    <col min="11522" max="11522" width="15" style="617" customWidth="1"/>
    <col min="11523" max="11523" width="44" style="617" customWidth="1"/>
    <col min="11524" max="11524" width="16.42578125" style="617" customWidth="1"/>
    <col min="11525" max="11775" width="9.140625" style="617"/>
    <col min="11776" max="11776" width="9.5703125" style="617" customWidth="1"/>
    <col min="11777" max="11777" width="46" style="617" customWidth="1"/>
    <col min="11778" max="11778" width="15" style="617" customWidth="1"/>
    <col min="11779" max="11779" width="44" style="617" customWidth="1"/>
    <col min="11780" max="11780" width="16.42578125" style="617" customWidth="1"/>
    <col min="11781" max="12031" width="9.140625" style="617"/>
    <col min="12032" max="12032" width="9.5703125" style="617" customWidth="1"/>
    <col min="12033" max="12033" width="46" style="617" customWidth="1"/>
    <col min="12034" max="12034" width="15" style="617" customWidth="1"/>
    <col min="12035" max="12035" width="44" style="617" customWidth="1"/>
    <col min="12036" max="12036" width="16.42578125" style="617" customWidth="1"/>
    <col min="12037" max="12287" width="9.140625" style="617"/>
    <col min="12288" max="12288" width="9.5703125" style="617" customWidth="1"/>
    <col min="12289" max="12289" width="46" style="617" customWidth="1"/>
    <col min="12290" max="12290" width="15" style="617" customWidth="1"/>
    <col min="12291" max="12291" width="44" style="617" customWidth="1"/>
    <col min="12292" max="12292" width="16.42578125" style="617" customWidth="1"/>
    <col min="12293" max="12543" width="9.140625" style="617"/>
    <col min="12544" max="12544" width="9.5703125" style="617" customWidth="1"/>
    <col min="12545" max="12545" width="46" style="617" customWidth="1"/>
    <col min="12546" max="12546" width="15" style="617" customWidth="1"/>
    <col min="12547" max="12547" width="44" style="617" customWidth="1"/>
    <col min="12548" max="12548" width="16.42578125" style="617" customWidth="1"/>
    <col min="12549" max="12799" width="9.140625" style="617"/>
    <col min="12800" max="12800" width="9.5703125" style="617" customWidth="1"/>
    <col min="12801" max="12801" width="46" style="617" customWidth="1"/>
    <col min="12802" max="12802" width="15" style="617" customWidth="1"/>
    <col min="12803" max="12803" width="44" style="617" customWidth="1"/>
    <col min="12804" max="12804" width="16.42578125" style="617" customWidth="1"/>
    <col min="12805" max="13055" width="9.140625" style="617"/>
    <col min="13056" max="13056" width="9.5703125" style="617" customWidth="1"/>
    <col min="13057" max="13057" width="46" style="617" customWidth="1"/>
    <col min="13058" max="13058" width="15" style="617" customWidth="1"/>
    <col min="13059" max="13059" width="44" style="617" customWidth="1"/>
    <col min="13060" max="13060" width="16.42578125" style="617" customWidth="1"/>
    <col min="13061" max="13311" width="9.140625" style="617"/>
    <col min="13312" max="13312" width="9.5703125" style="617" customWidth="1"/>
    <col min="13313" max="13313" width="46" style="617" customWidth="1"/>
    <col min="13314" max="13314" width="15" style="617" customWidth="1"/>
    <col min="13315" max="13315" width="44" style="617" customWidth="1"/>
    <col min="13316" max="13316" width="16.42578125" style="617" customWidth="1"/>
    <col min="13317" max="13567" width="9.140625" style="617"/>
    <col min="13568" max="13568" width="9.5703125" style="617" customWidth="1"/>
    <col min="13569" max="13569" width="46" style="617" customWidth="1"/>
    <col min="13570" max="13570" width="15" style="617" customWidth="1"/>
    <col min="13571" max="13571" width="44" style="617" customWidth="1"/>
    <col min="13572" max="13572" width="16.42578125" style="617" customWidth="1"/>
    <col min="13573" max="13823" width="9.140625" style="617"/>
    <col min="13824" max="13824" width="9.5703125" style="617" customWidth="1"/>
    <col min="13825" max="13825" width="46" style="617" customWidth="1"/>
    <col min="13826" max="13826" width="15" style="617" customWidth="1"/>
    <col min="13827" max="13827" width="44" style="617" customWidth="1"/>
    <col min="13828" max="13828" width="16.42578125" style="617" customWidth="1"/>
    <col min="13829" max="14079" width="9.140625" style="617"/>
    <col min="14080" max="14080" width="9.5703125" style="617" customWidth="1"/>
    <col min="14081" max="14081" width="46" style="617" customWidth="1"/>
    <col min="14082" max="14082" width="15" style="617" customWidth="1"/>
    <col min="14083" max="14083" width="44" style="617" customWidth="1"/>
    <col min="14084" max="14084" width="16.42578125" style="617" customWidth="1"/>
    <col min="14085" max="14335" width="9.140625" style="617"/>
    <col min="14336" max="14336" width="9.5703125" style="617" customWidth="1"/>
    <col min="14337" max="14337" width="46" style="617" customWidth="1"/>
    <col min="14338" max="14338" width="15" style="617" customWidth="1"/>
    <col min="14339" max="14339" width="44" style="617" customWidth="1"/>
    <col min="14340" max="14340" width="16.42578125" style="617" customWidth="1"/>
    <col min="14341" max="14591" width="9.140625" style="617"/>
    <col min="14592" max="14592" width="9.5703125" style="617" customWidth="1"/>
    <col min="14593" max="14593" width="46" style="617" customWidth="1"/>
    <col min="14594" max="14594" width="15" style="617" customWidth="1"/>
    <col min="14595" max="14595" width="44" style="617" customWidth="1"/>
    <col min="14596" max="14596" width="16.42578125" style="617" customWidth="1"/>
    <col min="14597" max="14847" width="9.140625" style="617"/>
    <col min="14848" max="14848" width="9.5703125" style="617" customWidth="1"/>
    <col min="14849" max="14849" width="46" style="617" customWidth="1"/>
    <col min="14850" max="14850" width="15" style="617" customWidth="1"/>
    <col min="14851" max="14851" width="44" style="617" customWidth="1"/>
    <col min="14852" max="14852" width="16.42578125" style="617" customWidth="1"/>
    <col min="14853" max="15103" width="9.140625" style="617"/>
    <col min="15104" max="15104" width="9.5703125" style="617" customWidth="1"/>
    <col min="15105" max="15105" width="46" style="617" customWidth="1"/>
    <col min="15106" max="15106" width="15" style="617" customWidth="1"/>
    <col min="15107" max="15107" width="44" style="617" customWidth="1"/>
    <col min="15108" max="15108" width="16.42578125" style="617" customWidth="1"/>
    <col min="15109" max="15359" width="9.140625" style="617"/>
    <col min="15360" max="15360" width="9.5703125" style="617" customWidth="1"/>
    <col min="15361" max="15361" width="46" style="617" customWidth="1"/>
    <col min="15362" max="15362" width="15" style="617" customWidth="1"/>
    <col min="15363" max="15363" width="44" style="617" customWidth="1"/>
    <col min="15364" max="15364" width="16.42578125" style="617" customWidth="1"/>
    <col min="15365" max="15615" width="9.140625" style="617"/>
    <col min="15616" max="15616" width="9.5703125" style="617" customWidth="1"/>
    <col min="15617" max="15617" width="46" style="617" customWidth="1"/>
    <col min="15618" max="15618" width="15" style="617" customWidth="1"/>
    <col min="15619" max="15619" width="44" style="617" customWidth="1"/>
    <col min="15620" max="15620" width="16.42578125" style="617" customWidth="1"/>
    <col min="15621" max="15871" width="9.140625" style="617"/>
    <col min="15872" max="15872" width="9.5703125" style="617" customWidth="1"/>
    <col min="15873" max="15873" width="46" style="617" customWidth="1"/>
    <col min="15874" max="15874" width="15" style="617" customWidth="1"/>
    <col min="15875" max="15875" width="44" style="617" customWidth="1"/>
    <col min="15876" max="15876" width="16.42578125" style="617" customWidth="1"/>
    <col min="15877" max="16127" width="9.140625" style="617"/>
    <col min="16128" max="16128" width="9.5703125" style="617" customWidth="1"/>
    <col min="16129" max="16129" width="46" style="617" customWidth="1"/>
    <col min="16130" max="16130" width="15" style="617" customWidth="1"/>
    <col min="16131" max="16131" width="44" style="617" customWidth="1"/>
    <col min="16132" max="16132" width="16.42578125" style="617" customWidth="1"/>
    <col min="16133" max="16384" width="9.140625" style="617"/>
  </cols>
  <sheetData>
    <row r="1" spans="1:6" s="612" customFormat="1" ht="20.25" thickBot="1" x14ac:dyDescent="0.25">
      <c r="A1" s="607"/>
      <c r="B1" s="608" t="s">
        <v>2020</v>
      </c>
      <c r="C1" s="609"/>
      <c r="D1" s="609"/>
      <c r="E1" s="610"/>
      <c r="F1" s="611"/>
    </row>
    <row r="2" spans="1:6" ht="16.5" customHeight="1" x14ac:dyDescent="0.2">
      <c r="A2" s="613">
        <v>210</v>
      </c>
      <c r="B2" s="614" t="s">
        <v>7</v>
      </c>
      <c r="C2" s="613">
        <v>246</v>
      </c>
      <c r="D2" s="615" t="s">
        <v>218</v>
      </c>
    </row>
    <row r="3" spans="1:6" ht="16.5" customHeight="1" x14ac:dyDescent="0.2">
      <c r="A3" s="613">
        <v>211</v>
      </c>
      <c r="B3" s="614" t="s">
        <v>2021</v>
      </c>
      <c r="C3" s="613">
        <v>247</v>
      </c>
      <c r="D3" s="615" t="s">
        <v>2022</v>
      </c>
    </row>
    <row r="4" spans="1:6" ht="16.5" customHeight="1" x14ac:dyDescent="0.2">
      <c r="A4" s="613">
        <v>212</v>
      </c>
      <c r="B4" s="614" t="s">
        <v>9</v>
      </c>
      <c r="C4" s="618">
        <v>260</v>
      </c>
      <c r="D4" s="619" t="s">
        <v>220</v>
      </c>
    </row>
    <row r="5" spans="1:6" ht="16.5" customHeight="1" x14ac:dyDescent="0.2">
      <c r="A5" s="613">
        <v>216</v>
      </c>
      <c r="B5" s="614" t="s">
        <v>10</v>
      </c>
      <c r="C5" s="618">
        <v>261</v>
      </c>
      <c r="D5" s="619" t="s">
        <v>221</v>
      </c>
    </row>
    <row r="6" spans="1:6" ht="16.5" customHeight="1" x14ac:dyDescent="0.2">
      <c r="A6" s="613">
        <v>218</v>
      </c>
      <c r="B6" s="614" t="s">
        <v>202</v>
      </c>
      <c r="C6" s="618">
        <v>265</v>
      </c>
      <c r="D6" s="619" t="s">
        <v>222</v>
      </c>
    </row>
    <row r="7" spans="1:6" ht="16.5" customHeight="1" x14ac:dyDescent="0.2">
      <c r="A7" s="613">
        <v>219</v>
      </c>
      <c r="B7" s="614" t="s">
        <v>203</v>
      </c>
      <c r="C7" s="618">
        <v>266</v>
      </c>
      <c r="D7" s="619" t="s">
        <v>223</v>
      </c>
    </row>
    <row r="8" spans="1:6" ht="16.5" customHeight="1" x14ac:dyDescent="0.2">
      <c r="A8" s="613">
        <v>220</v>
      </c>
      <c r="B8" s="620" t="s">
        <v>204</v>
      </c>
      <c r="C8" s="618">
        <v>270</v>
      </c>
      <c r="D8" s="619" t="s">
        <v>224</v>
      </c>
    </row>
    <row r="9" spans="1:6" ht="16.5" customHeight="1" x14ac:dyDescent="0.2">
      <c r="A9" s="613">
        <v>222</v>
      </c>
      <c r="B9" s="614" t="s">
        <v>205</v>
      </c>
      <c r="C9" s="618">
        <v>272</v>
      </c>
      <c r="D9" s="619" t="s">
        <v>225</v>
      </c>
    </row>
    <row r="10" spans="1:6" ht="16.5" customHeight="1" x14ac:dyDescent="0.2">
      <c r="A10" s="613">
        <v>224</v>
      </c>
      <c r="B10" s="614" t="s">
        <v>206</v>
      </c>
      <c r="C10" s="618">
        <v>273</v>
      </c>
      <c r="D10" s="619" t="s">
        <v>2023</v>
      </c>
    </row>
    <row r="11" spans="1:6" ht="16.5" customHeight="1" x14ac:dyDescent="0.2">
      <c r="A11" s="613">
        <v>226</v>
      </c>
      <c r="B11" s="614" t="s">
        <v>207</v>
      </c>
      <c r="C11" s="618">
        <v>274</v>
      </c>
      <c r="D11" s="619" t="s">
        <v>227</v>
      </c>
    </row>
    <row r="12" spans="1:6" ht="16.5" customHeight="1" x14ac:dyDescent="0.2">
      <c r="A12" s="613">
        <v>228</v>
      </c>
      <c r="B12" s="614" t="s">
        <v>208</v>
      </c>
      <c r="C12" s="618">
        <v>275</v>
      </c>
      <c r="D12" s="619" t="s">
        <v>228</v>
      </c>
    </row>
    <row r="13" spans="1:6" ht="16.5" customHeight="1" x14ac:dyDescent="0.2">
      <c r="A13" s="613">
        <v>229</v>
      </c>
      <c r="B13" s="614" t="s">
        <v>576</v>
      </c>
      <c r="C13" s="618">
        <v>276</v>
      </c>
      <c r="D13" s="619" t="s">
        <v>2024</v>
      </c>
    </row>
    <row r="14" spans="1:6" ht="16.5" customHeight="1" x14ac:dyDescent="0.2">
      <c r="A14" s="613">
        <v>230</v>
      </c>
      <c r="B14" s="614" t="s">
        <v>210</v>
      </c>
      <c r="C14" s="618">
        <v>280</v>
      </c>
      <c r="D14" s="619" t="s">
        <v>233</v>
      </c>
    </row>
    <row r="15" spans="1:6" ht="16.5" customHeight="1" x14ac:dyDescent="0.2">
      <c r="A15" s="613">
        <v>232</v>
      </c>
      <c r="B15" s="614" t="s">
        <v>211</v>
      </c>
      <c r="C15" s="618">
        <v>281</v>
      </c>
      <c r="D15" s="619" t="s">
        <v>234</v>
      </c>
    </row>
    <row r="16" spans="1:6" ht="16.5" customHeight="1" x14ac:dyDescent="0.2">
      <c r="A16" s="613">
        <v>234</v>
      </c>
      <c r="B16" s="614" t="s">
        <v>212</v>
      </c>
      <c r="C16" s="618">
        <v>282</v>
      </c>
      <c r="D16" s="619" t="s">
        <v>235</v>
      </c>
    </row>
    <row r="17" spans="1:6" ht="16.5" customHeight="1" x14ac:dyDescent="0.2">
      <c r="A17" s="613">
        <v>236</v>
      </c>
      <c r="B17" s="614" t="s">
        <v>213</v>
      </c>
      <c r="C17" s="618">
        <v>283</v>
      </c>
      <c r="D17" s="619" t="s">
        <v>236</v>
      </c>
    </row>
    <row r="18" spans="1:6" ht="16.5" customHeight="1" x14ac:dyDescent="0.2">
      <c r="A18" s="613">
        <v>238</v>
      </c>
      <c r="B18" s="614" t="s">
        <v>214</v>
      </c>
      <c r="C18" s="621">
        <v>284</v>
      </c>
      <c r="D18" s="622" t="s">
        <v>237</v>
      </c>
    </row>
    <row r="19" spans="1:6" ht="16.5" customHeight="1" x14ac:dyDescent="0.2">
      <c r="A19" s="613">
        <v>240</v>
      </c>
      <c r="B19" s="614" t="s">
        <v>215</v>
      </c>
      <c r="C19" s="618">
        <v>290</v>
      </c>
      <c r="D19" s="619" t="s">
        <v>238</v>
      </c>
    </row>
    <row r="20" spans="1:6" ht="16.5" customHeight="1" x14ac:dyDescent="0.2">
      <c r="A20" s="613">
        <v>242</v>
      </c>
      <c r="B20" s="614" t="s">
        <v>216</v>
      </c>
      <c r="C20" s="618">
        <v>292</v>
      </c>
      <c r="D20" s="619" t="s">
        <v>239</v>
      </c>
    </row>
    <row r="21" spans="1:6" ht="16.5" customHeight="1" x14ac:dyDescent="0.2">
      <c r="A21" s="613">
        <v>244</v>
      </c>
      <c r="B21" s="614" t="s">
        <v>217</v>
      </c>
      <c r="C21" s="618"/>
      <c r="D21" s="619"/>
    </row>
    <row r="22" spans="1:6" ht="17.25" customHeight="1" x14ac:dyDescent="0.2">
      <c r="A22" s="613"/>
      <c r="B22" s="615"/>
      <c r="C22" s="623"/>
      <c r="D22" s="623"/>
    </row>
    <row r="23" spans="1:6" s="612" customFormat="1" ht="20.25" thickBot="1" x14ac:dyDescent="0.25">
      <c r="A23" s="607"/>
      <c r="B23" s="608" t="s">
        <v>2025</v>
      </c>
      <c r="C23" s="618"/>
      <c r="D23" s="619"/>
      <c r="E23" s="610"/>
      <c r="F23" s="611"/>
    </row>
    <row r="24" spans="1:6" x14ac:dyDescent="0.2">
      <c r="A24" s="624">
        <v>21001</v>
      </c>
      <c r="B24" s="625" t="s">
        <v>7</v>
      </c>
      <c r="C24" s="624">
        <v>22001</v>
      </c>
      <c r="D24" s="626" t="s">
        <v>2026</v>
      </c>
      <c r="E24" s="617"/>
    </row>
    <row r="25" spans="1:6" ht="16.5" customHeight="1" x14ac:dyDescent="0.2">
      <c r="A25" s="624">
        <v>21002</v>
      </c>
      <c r="B25" s="625" t="s">
        <v>2027</v>
      </c>
      <c r="C25" s="624">
        <v>22002</v>
      </c>
      <c r="D25" s="626" t="s">
        <v>2028</v>
      </c>
      <c r="E25" s="617"/>
    </row>
    <row r="26" spans="1:6" ht="16.5" customHeight="1" x14ac:dyDescent="0.2">
      <c r="A26" s="624">
        <v>21003</v>
      </c>
      <c r="B26" s="625" t="s">
        <v>2029</v>
      </c>
      <c r="C26" s="624">
        <v>22003</v>
      </c>
      <c r="D26" s="626" t="s">
        <v>2030</v>
      </c>
      <c r="E26" s="617"/>
    </row>
    <row r="27" spans="1:6" ht="16.5" customHeight="1" x14ac:dyDescent="0.2">
      <c r="A27" s="624">
        <v>21004</v>
      </c>
      <c r="B27" s="625" t="s">
        <v>2031</v>
      </c>
      <c r="C27" s="624">
        <v>22201</v>
      </c>
      <c r="D27" s="626" t="s">
        <v>2032</v>
      </c>
      <c r="E27" s="617"/>
    </row>
    <row r="28" spans="1:6" ht="16.5" customHeight="1" x14ac:dyDescent="0.2">
      <c r="A28" s="624">
        <v>21005</v>
      </c>
      <c r="B28" s="625" t="s">
        <v>2033</v>
      </c>
      <c r="C28" s="624">
        <v>22202</v>
      </c>
      <c r="D28" s="626" t="s">
        <v>2034</v>
      </c>
      <c r="E28" s="617"/>
    </row>
    <row r="29" spans="1:6" ht="16.5" customHeight="1" x14ac:dyDescent="0.2">
      <c r="A29" s="624">
        <v>21006</v>
      </c>
      <c r="B29" s="625" t="s">
        <v>2035</v>
      </c>
      <c r="C29" s="624">
        <v>22203</v>
      </c>
      <c r="D29" s="626" t="s">
        <v>2036</v>
      </c>
      <c r="E29" s="617"/>
    </row>
    <row r="30" spans="1:6" ht="16.5" customHeight="1" x14ac:dyDescent="0.2">
      <c r="A30" s="624">
        <v>21101</v>
      </c>
      <c r="B30" s="625" t="s">
        <v>2037</v>
      </c>
      <c r="C30" s="624">
        <v>22210</v>
      </c>
      <c r="D30" s="626" t="s">
        <v>2038</v>
      </c>
      <c r="E30" s="617"/>
    </row>
    <row r="31" spans="1:6" ht="16.5" customHeight="1" x14ac:dyDescent="0.2">
      <c r="A31" s="624">
        <v>21102</v>
      </c>
      <c r="B31" s="625" t="s">
        <v>2039</v>
      </c>
      <c r="C31" s="624">
        <v>22212</v>
      </c>
      <c r="D31" s="626" t="s">
        <v>2040</v>
      </c>
      <c r="E31" s="617"/>
    </row>
    <row r="32" spans="1:6" ht="16.5" customHeight="1" x14ac:dyDescent="0.2">
      <c r="A32" s="624">
        <v>21103</v>
      </c>
      <c r="B32" s="625" t="s">
        <v>2041</v>
      </c>
      <c r="C32" s="624">
        <v>22213</v>
      </c>
      <c r="D32" s="626" t="s">
        <v>2042</v>
      </c>
      <c r="E32" s="617"/>
    </row>
    <row r="33" spans="1:5" ht="16.5" customHeight="1" x14ac:dyDescent="0.2">
      <c r="A33" s="624">
        <v>21201</v>
      </c>
      <c r="B33" s="625" t="s">
        <v>9</v>
      </c>
      <c r="C33" s="624">
        <v>22299</v>
      </c>
      <c r="D33" s="626" t="s">
        <v>2043</v>
      </c>
      <c r="E33" s="617"/>
    </row>
    <row r="34" spans="1:5" ht="16.5" customHeight="1" x14ac:dyDescent="0.2">
      <c r="A34" s="624">
        <v>21601</v>
      </c>
      <c r="B34" s="625" t="s">
        <v>2044</v>
      </c>
      <c r="C34" s="624">
        <v>22401</v>
      </c>
      <c r="D34" s="626" t="s">
        <v>2045</v>
      </c>
      <c r="E34" s="617"/>
    </row>
    <row r="35" spans="1:5" ht="16.5" customHeight="1" x14ac:dyDescent="0.2">
      <c r="A35" s="624">
        <v>21602</v>
      </c>
      <c r="B35" s="625" t="s">
        <v>2046</v>
      </c>
      <c r="C35" s="624">
        <v>22402</v>
      </c>
      <c r="D35" s="626" t="s">
        <v>2047</v>
      </c>
      <c r="E35" s="617"/>
    </row>
    <row r="36" spans="1:5" ht="16.5" customHeight="1" x14ac:dyDescent="0.2">
      <c r="A36" s="627" t="s">
        <v>2048</v>
      </c>
      <c r="B36" s="628" t="s">
        <v>2049</v>
      </c>
      <c r="C36" s="624">
        <v>22403</v>
      </c>
      <c r="D36" s="626" t="s">
        <v>2050</v>
      </c>
      <c r="E36" s="617"/>
    </row>
    <row r="37" spans="1:5" ht="16.5" customHeight="1" x14ac:dyDescent="0.2">
      <c r="A37" s="627" t="s">
        <v>2051</v>
      </c>
      <c r="B37" s="628" t="s">
        <v>2052</v>
      </c>
      <c r="C37" s="624">
        <v>22499</v>
      </c>
      <c r="D37" s="626" t="s">
        <v>2053</v>
      </c>
      <c r="E37" s="617"/>
    </row>
    <row r="38" spans="1:5" ht="16.5" customHeight="1" x14ac:dyDescent="0.2">
      <c r="A38" s="627" t="s">
        <v>2054</v>
      </c>
      <c r="B38" s="628" t="s">
        <v>2055</v>
      </c>
      <c r="C38" s="624">
        <v>22601</v>
      </c>
      <c r="D38" s="626" t="s">
        <v>2056</v>
      </c>
      <c r="E38" s="617"/>
    </row>
    <row r="39" spans="1:5" ht="16.5" customHeight="1" x14ac:dyDescent="0.2">
      <c r="A39" s="627" t="s">
        <v>2057</v>
      </c>
      <c r="B39" s="628" t="s">
        <v>2058</v>
      </c>
      <c r="C39" s="624">
        <v>22602</v>
      </c>
      <c r="D39" s="626" t="s">
        <v>2059</v>
      </c>
      <c r="E39" s="617"/>
    </row>
    <row r="40" spans="1:5" ht="16.5" customHeight="1" x14ac:dyDescent="0.2">
      <c r="A40" s="627" t="s">
        <v>2060</v>
      </c>
      <c r="B40" s="628" t="s">
        <v>2061</v>
      </c>
      <c r="C40" s="624">
        <v>22603</v>
      </c>
      <c r="D40" s="626" t="s">
        <v>2062</v>
      </c>
      <c r="E40" s="617"/>
    </row>
    <row r="41" spans="1:5" ht="16.5" customHeight="1" x14ac:dyDescent="0.2">
      <c r="A41" s="627" t="s">
        <v>2063</v>
      </c>
      <c r="B41" s="628" t="s">
        <v>2064</v>
      </c>
      <c r="C41" s="624">
        <v>22604</v>
      </c>
      <c r="D41" s="626" t="s">
        <v>2065</v>
      </c>
      <c r="E41" s="617"/>
    </row>
    <row r="42" spans="1:5" ht="16.5" customHeight="1" x14ac:dyDescent="0.2">
      <c r="A42" s="627" t="s">
        <v>2066</v>
      </c>
      <c r="B42" s="628" t="s">
        <v>2067</v>
      </c>
      <c r="C42" s="624">
        <v>22605</v>
      </c>
      <c r="D42" s="626" t="s">
        <v>2068</v>
      </c>
      <c r="E42" s="617"/>
    </row>
    <row r="43" spans="1:5" ht="16.5" customHeight="1" x14ac:dyDescent="0.2">
      <c r="A43" s="627" t="s">
        <v>2069</v>
      </c>
      <c r="B43" s="628" t="s">
        <v>2070</v>
      </c>
      <c r="C43" s="624">
        <v>22699</v>
      </c>
      <c r="D43" s="626" t="s">
        <v>2071</v>
      </c>
      <c r="E43" s="617"/>
    </row>
    <row r="44" spans="1:5" ht="16.5" customHeight="1" x14ac:dyDescent="0.2">
      <c r="A44" s="627" t="s">
        <v>2072</v>
      </c>
      <c r="B44" s="628" t="s">
        <v>2073</v>
      </c>
      <c r="C44" s="624">
        <v>22801</v>
      </c>
      <c r="D44" s="626" t="s">
        <v>2074</v>
      </c>
      <c r="E44" s="617"/>
    </row>
    <row r="45" spans="1:5" ht="16.5" customHeight="1" x14ac:dyDescent="0.2">
      <c r="A45" s="627" t="s">
        <v>2075</v>
      </c>
      <c r="B45" s="628" t="s">
        <v>2076</v>
      </c>
      <c r="C45" s="624">
        <v>22802</v>
      </c>
      <c r="D45" s="626" t="s">
        <v>2077</v>
      </c>
      <c r="E45" s="617"/>
    </row>
    <row r="46" spans="1:5" ht="16.5" customHeight="1" x14ac:dyDescent="0.2">
      <c r="A46" s="627" t="s">
        <v>2078</v>
      </c>
      <c r="B46" s="628" t="s">
        <v>2079</v>
      </c>
      <c r="C46" s="624">
        <v>22803</v>
      </c>
      <c r="D46" s="626" t="s">
        <v>2080</v>
      </c>
      <c r="E46" s="617"/>
    </row>
    <row r="47" spans="1:5" ht="16.5" customHeight="1" x14ac:dyDescent="0.2">
      <c r="A47" s="627" t="s">
        <v>2081</v>
      </c>
      <c r="B47" s="628" t="s">
        <v>2082</v>
      </c>
      <c r="C47" s="624">
        <v>22899</v>
      </c>
      <c r="D47" s="626" t="s">
        <v>2083</v>
      </c>
      <c r="E47" s="617"/>
    </row>
    <row r="48" spans="1:5" ht="16.5" customHeight="1" x14ac:dyDescent="0.2">
      <c r="A48" s="627" t="s">
        <v>2084</v>
      </c>
      <c r="B48" s="628" t="s">
        <v>2085</v>
      </c>
      <c r="C48" s="624">
        <v>22901</v>
      </c>
      <c r="D48" s="626" t="s">
        <v>1119</v>
      </c>
      <c r="E48" s="617"/>
    </row>
    <row r="49" spans="1:5" ht="16.5" customHeight="1" x14ac:dyDescent="0.2">
      <c r="A49" s="627" t="s">
        <v>2086</v>
      </c>
      <c r="B49" s="628" t="s">
        <v>2087</v>
      </c>
      <c r="C49" s="624">
        <v>22902</v>
      </c>
      <c r="D49" s="626" t="s">
        <v>2088</v>
      </c>
      <c r="E49" s="617"/>
    </row>
    <row r="50" spans="1:5" ht="16.5" customHeight="1" x14ac:dyDescent="0.2">
      <c r="A50" s="627" t="s">
        <v>2089</v>
      </c>
      <c r="B50" s="628" t="s">
        <v>2090</v>
      </c>
      <c r="C50" s="624">
        <v>22903</v>
      </c>
      <c r="D50" s="626" t="s">
        <v>2091</v>
      </c>
      <c r="E50" s="617"/>
    </row>
    <row r="51" spans="1:5" ht="16.5" customHeight="1" x14ac:dyDescent="0.2">
      <c r="A51" s="627" t="s">
        <v>2092</v>
      </c>
      <c r="B51" s="628" t="s">
        <v>2093</v>
      </c>
      <c r="C51" s="624">
        <v>22904</v>
      </c>
      <c r="D51" s="626" t="s">
        <v>2094</v>
      </c>
      <c r="E51" s="617"/>
    </row>
    <row r="52" spans="1:5" ht="16.5" customHeight="1" x14ac:dyDescent="0.2">
      <c r="A52" s="627" t="s">
        <v>2095</v>
      </c>
      <c r="B52" s="628" t="s">
        <v>575</v>
      </c>
      <c r="C52" s="624">
        <v>23001</v>
      </c>
      <c r="D52" s="626" t="s">
        <v>210</v>
      </c>
      <c r="E52" s="617"/>
    </row>
    <row r="53" spans="1:5" ht="16.5" customHeight="1" x14ac:dyDescent="0.2">
      <c r="A53" s="627" t="s">
        <v>2096</v>
      </c>
      <c r="B53" s="628" t="s">
        <v>2097</v>
      </c>
      <c r="C53" s="624">
        <v>23201</v>
      </c>
      <c r="D53" s="626" t="s">
        <v>2098</v>
      </c>
      <c r="E53" s="617"/>
    </row>
    <row r="54" spans="1:5" ht="16.5" customHeight="1" x14ac:dyDescent="0.2">
      <c r="A54" s="627">
        <v>21801</v>
      </c>
      <c r="B54" s="628" t="s">
        <v>2099</v>
      </c>
      <c r="C54" s="624">
        <v>23202</v>
      </c>
      <c r="D54" s="626" t="s">
        <v>2100</v>
      </c>
      <c r="E54" s="617"/>
    </row>
    <row r="55" spans="1:5" ht="16.5" customHeight="1" x14ac:dyDescent="0.2">
      <c r="A55" s="627">
        <v>21802</v>
      </c>
      <c r="B55" s="628" t="s">
        <v>2101</v>
      </c>
      <c r="C55" s="624">
        <v>23203</v>
      </c>
      <c r="D55" s="626" t="s">
        <v>2102</v>
      </c>
      <c r="E55" s="617"/>
    </row>
    <row r="56" spans="1:5" ht="16.5" customHeight="1" x14ac:dyDescent="0.2">
      <c r="A56" s="627">
        <v>21803</v>
      </c>
      <c r="B56" s="628" t="s">
        <v>2103</v>
      </c>
      <c r="C56" s="624">
        <v>23204</v>
      </c>
      <c r="D56" s="626" t="s">
        <v>2104</v>
      </c>
      <c r="E56" s="617"/>
    </row>
    <row r="57" spans="1:5" ht="16.5" customHeight="1" x14ac:dyDescent="0.2">
      <c r="A57" s="627">
        <v>21804</v>
      </c>
      <c r="B57" s="628" t="s">
        <v>2105</v>
      </c>
      <c r="C57" s="624">
        <v>23205</v>
      </c>
      <c r="D57" s="626" t="s">
        <v>2106</v>
      </c>
      <c r="E57" s="617"/>
    </row>
    <row r="58" spans="1:5" ht="16.5" customHeight="1" x14ac:dyDescent="0.2">
      <c r="A58" s="627">
        <v>21805</v>
      </c>
      <c r="B58" s="628" t="s">
        <v>2107</v>
      </c>
      <c r="C58" s="624">
        <v>23206</v>
      </c>
      <c r="D58" s="626" t="s">
        <v>2108</v>
      </c>
      <c r="E58" s="617"/>
    </row>
    <row r="59" spans="1:5" ht="16.5" customHeight="1" x14ac:dyDescent="0.2">
      <c r="A59" s="627">
        <v>21806</v>
      </c>
      <c r="B59" s="628" t="s">
        <v>2109</v>
      </c>
      <c r="C59" s="624">
        <v>23207</v>
      </c>
      <c r="D59" s="626" t="s">
        <v>2110</v>
      </c>
      <c r="E59" s="617"/>
    </row>
    <row r="60" spans="1:5" ht="16.5" customHeight="1" x14ac:dyDescent="0.2">
      <c r="A60" s="627">
        <v>21807</v>
      </c>
      <c r="B60" s="628" t="s">
        <v>2111</v>
      </c>
      <c r="C60" s="624">
        <v>23208</v>
      </c>
      <c r="D60" s="626" t="s">
        <v>2112</v>
      </c>
      <c r="E60" s="617"/>
    </row>
    <row r="61" spans="1:5" ht="16.5" customHeight="1" x14ac:dyDescent="0.2">
      <c r="A61" s="627">
        <v>21808</v>
      </c>
      <c r="B61" s="628" t="s">
        <v>2113</v>
      </c>
      <c r="C61" s="624">
        <v>23209</v>
      </c>
      <c r="D61" s="626" t="s">
        <v>2114</v>
      </c>
      <c r="E61" s="617"/>
    </row>
    <row r="62" spans="1:5" ht="16.5" customHeight="1" x14ac:dyDescent="0.2">
      <c r="A62" s="627">
        <v>21902</v>
      </c>
      <c r="B62" s="628" t="s">
        <v>2115</v>
      </c>
      <c r="C62" s="624">
        <v>23401</v>
      </c>
      <c r="D62" s="626" t="s">
        <v>2116</v>
      </c>
      <c r="E62" s="617"/>
    </row>
    <row r="63" spans="1:5" ht="16.5" customHeight="1" x14ac:dyDescent="0.2">
      <c r="A63" s="627">
        <v>21903</v>
      </c>
      <c r="B63" s="628" t="s">
        <v>2117</v>
      </c>
      <c r="C63" s="624">
        <v>23402</v>
      </c>
      <c r="D63" s="626" t="s">
        <v>2118</v>
      </c>
      <c r="E63" s="617"/>
    </row>
    <row r="64" spans="1:5" ht="16.5" customHeight="1" x14ac:dyDescent="0.2">
      <c r="A64" s="627">
        <v>21999</v>
      </c>
      <c r="B64" s="628" t="s">
        <v>2119</v>
      </c>
      <c r="C64" s="629">
        <v>23403</v>
      </c>
      <c r="D64" s="626" t="s">
        <v>2120</v>
      </c>
      <c r="E64" s="617"/>
    </row>
    <row r="65" spans="1:6" ht="16.5" customHeight="1" x14ac:dyDescent="0.2">
      <c r="A65" s="627"/>
      <c r="B65" s="630"/>
      <c r="C65" s="629"/>
      <c r="D65" s="626"/>
      <c r="E65" s="617"/>
    </row>
    <row r="66" spans="1:6" s="612" customFormat="1" ht="20.25" thickBot="1" x14ac:dyDescent="0.25">
      <c r="A66" s="607"/>
      <c r="B66" s="608" t="s">
        <v>2121</v>
      </c>
      <c r="C66" s="609"/>
      <c r="D66" s="609"/>
      <c r="E66" s="610"/>
      <c r="F66" s="611"/>
    </row>
    <row r="67" spans="1:6" ht="16.5" customHeight="1" x14ac:dyDescent="0.2">
      <c r="A67" s="631" t="s">
        <v>2122</v>
      </c>
      <c r="B67" s="632" t="s">
        <v>2123</v>
      </c>
      <c r="C67" s="633">
        <v>27301</v>
      </c>
      <c r="D67" s="634" t="s">
        <v>2124</v>
      </c>
    </row>
    <row r="68" spans="1:6" ht="16.5" customHeight="1" x14ac:dyDescent="0.2">
      <c r="A68" s="631">
        <v>27005</v>
      </c>
      <c r="B68" s="632" t="s">
        <v>2125</v>
      </c>
      <c r="C68" s="633">
        <v>27302</v>
      </c>
      <c r="D68" s="634" t="s">
        <v>2126</v>
      </c>
    </row>
    <row r="69" spans="1:6" ht="16.5" customHeight="1" x14ac:dyDescent="0.2">
      <c r="A69" s="631" t="s">
        <v>2127</v>
      </c>
      <c r="B69" s="632" t="s">
        <v>2128</v>
      </c>
      <c r="C69" s="633">
        <v>27303</v>
      </c>
      <c r="D69" s="634" t="s">
        <v>2129</v>
      </c>
    </row>
    <row r="70" spans="1:6" ht="16.5" customHeight="1" x14ac:dyDescent="0.2">
      <c r="A70" s="631">
        <v>27202</v>
      </c>
      <c r="B70" s="632" t="s">
        <v>2130</v>
      </c>
      <c r="C70" s="633">
        <v>27304</v>
      </c>
      <c r="D70" s="634" t="s">
        <v>2131</v>
      </c>
    </row>
    <row r="71" spans="1:6" ht="16.5" customHeight="1" x14ac:dyDescent="0.2">
      <c r="A71" s="631">
        <v>23499</v>
      </c>
      <c r="B71" s="632" t="s">
        <v>2132</v>
      </c>
      <c r="C71" s="633">
        <v>27305</v>
      </c>
      <c r="D71" s="634" t="s">
        <v>2133</v>
      </c>
    </row>
    <row r="72" spans="1:6" ht="16.5" customHeight="1" x14ac:dyDescent="0.2">
      <c r="A72" s="631">
        <v>23601</v>
      </c>
      <c r="B72" s="632" t="s">
        <v>2134</v>
      </c>
      <c r="C72" s="633">
        <v>27306</v>
      </c>
      <c r="D72" s="634" t="s">
        <v>2135</v>
      </c>
    </row>
    <row r="73" spans="1:6" ht="16.5" customHeight="1" x14ac:dyDescent="0.2">
      <c r="A73" s="631">
        <v>23602</v>
      </c>
      <c r="B73" s="632" t="s">
        <v>2136</v>
      </c>
      <c r="C73" s="633">
        <v>27307</v>
      </c>
      <c r="D73" s="634" t="s">
        <v>236</v>
      </c>
    </row>
    <row r="74" spans="1:6" ht="16.5" customHeight="1" x14ac:dyDescent="0.2">
      <c r="A74" s="631">
        <v>23603</v>
      </c>
      <c r="B74" s="632" t="s">
        <v>2137</v>
      </c>
      <c r="C74" s="633">
        <v>27308</v>
      </c>
      <c r="D74" s="634" t="s">
        <v>2138</v>
      </c>
    </row>
    <row r="75" spans="1:6" ht="16.5" customHeight="1" x14ac:dyDescent="0.2">
      <c r="A75" s="631">
        <v>23604</v>
      </c>
      <c r="B75" s="632" t="s">
        <v>2139</v>
      </c>
      <c r="C75" s="633">
        <v>27309</v>
      </c>
      <c r="D75" s="634" t="s">
        <v>2140</v>
      </c>
    </row>
    <row r="76" spans="1:6" ht="16.5" customHeight="1" x14ac:dyDescent="0.2">
      <c r="A76" s="631">
        <v>23611</v>
      </c>
      <c r="B76" s="632" t="s">
        <v>2141</v>
      </c>
      <c r="C76" s="633" t="s">
        <v>2142</v>
      </c>
      <c r="D76" s="634" t="s">
        <v>2143</v>
      </c>
    </row>
    <row r="77" spans="1:6" ht="16.5" customHeight="1" x14ac:dyDescent="0.2">
      <c r="A77" s="631">
        <v>23612</v>
      </c>
      <c r="B77" s="632" t="s">
        <v>2144</v>
      </c>
      <c r="C77" s="633" t="s">
        <v>2145</v>
      </c>
      <c r="D77" s="634" t="s">
        <v>2146</v>
      </c>
    </row>
    <row r="78" spans="1:6" ht="16.5" customHeight="1" x14ac:dyDescent="0.2">
      <c r="A78" s="631">
        <v>23613</v>
      </c>
      <c r="B78" s="632" t="s">
        <v>2147</v>
      </c>
      <c r="C78" s="633">
        <v>27401</v>
      </c>
      <c r="D78" s="634" t="s">
        <v>2148</v>
      </c>
    </row>
    <row r="79" spans="1:6" ht="16.5" customHeight="1" x14ac:dyDescent="0.2">
      <c r="A79" s="631">
        <v>23614</v>
      </c>
      <c r="B79" s="632" t="s">
        <v>2149</v>
      </c>
      <c r="C79" s="633">
        <v>27402</v>
      </c>
      <c r="D79" s="634" t="s">
        <v>2150</v>
      </c>
    </row>
    <row r="80" spans="1:6" ht="16.5" customHeight="1" x14ac:dyDescent="0.2">
      <c r="A80" s="631">
        <v>23699</v>
      </c>
      <c r="B80" s="632" t="s">
        <v>2151</v>
      </c>
      <c r="C80" s="633">
        <v>27403</v>
      </c>
      <c r="D80" s="634" t="s">
        <v>2152</v>
      </c>
    </row>
    <row r="81" spans="1:4" ht="16.5" customHeight="1" x14ac:dyDescent="0.2">
      <c r="A81" s="631">
        <v>23801</v>
      </c>
      <c r="B81" s="632" t="s">
        <v>2153</v>
      </c>
      <c r="C81" s="633">
        <v>27404</v>
      </c>
      <c r="D81" s="634" t="s">
        <v>2154</v>
      </c>
    </row>
    <row r="82" spans="1:4" ht="16.5" customHeight="1" x14ac:dyDescent="0.2">
      <c r="A82" s="631">
        <v>23802</v>
      </c>
      <c r="B82" s="632" t="s">
        <v>2155</v>
      </c>
      <c r="C82" s="633">
        <v>27405</v>
      </c>
      <c r="D82" s="634" t="s">
        <v>2156</v>
      </c>
    </row>
    <row r="83" spans="1:4" ht="16.5" customHeight="1" x14ac:dyDescent="0.2">
      <c r="A83" s="631">
        <v>23803</v>
      </c>
      <c r="B83" s="632" t="s">
        <v>2157</v>
      </c>
      <c r="C83" s="633" t="s">
        <v>2158</v>
      </c>
      <c r="D83" s="634" t="s">
        <v>2159</v>
      </c>
    </row>
    <row r="84" spans="1:4" ht="16.5" customHeight="1" x14ac:dyDescent="0.2">
      <c r="A84" s="631">
        <v>23804</v>
      </c>
      <c r="B84" s="632" t="s">
        <v>2160</v>
      </c>
      <c r="C84" s="633" t="s">
        <v>2161</v>
      </c>
      <c r="D84" s="634" t="s">
        <v>2162</v>
      </c>
    </row>
    <row r="85" spans="1:4" ht="16.5" customHeight="1" x14ac:dyDescent="0.2">
      <c r="A85" s="631">
        <v>23805</v>
      </c>
      <c r="B85" s="632" t="s">
        <v>2163</v>
      </c>
      <c r="C85" s="633" t="s">
        <v>2164</v>
      </c>
      <c r="D85" s="634" t="s">
        <v>2165</v>
      </c>
    </row>
    <row r="86" spans="1:4" ht="16.5" customHeight="1" x14ac:dyDescent="0.2">
      <c r="A86" s="631">
        <v>24001</v>
      </c>
      <c r="B86" s="632" t="s">
        <v>2166</v>
      </c>
      <c r="C86" s="633">
        <v>27503</v>
      </c>
      <c r="D86" s="634" t="s">
        <v>2167</v>
      </c>
    </row>
    <row r="87" spans="1:4" ht="16.5" customHeight="1" x14ac:dyDescent="0.2">
      <c r="A87" s="631">
        <v>24002</v>
      </c>
      <c r="B87" s="632" t="s">
        <v>2168</v>
      </c>
      <c r="C87" s="633" t="s">
        <v>2169</v>
      </c>
      <c r="D87" s="634" t="s">
        <v>2170</v>
      </c>
    </row>
    <row r="88" spans="1:4" ht="16.5" customHeight="1" x14ac:dyDescent="0.2">
      <c r="A88" s="631">
        <v>24003</v>
      </c>
      <c r="B88" s="632" t="s">
        <v>2171</v>
      </c>
      <c r="C88" s="633">
        <v>27505</v>
      </c>
      <c r="D88" s="634" t="s">
        <v>2172</v>
      </c>
    </row>
    <row r="89" spans="1:4" ht="16.5" customHeight="1" x14ac:dyDescent="0.2">
      <c r="A89" s="631">
        <v>24004</v>
      </c>
      <c r="B89" s="632" t="s">
        <v>2173</v>
      </c>
      <c r="C89" s="633" t="s">
        <v>2174</v>
      </c>
      <c r="D89" s="634" t="s">
        <v>2175</v>
      </c>
    </row>
    <row r="90" spans="1:4" ht="16.5" customHeight="1" x14ac:dyDescent="0.2">
      <c r="A90" s="631">
        <v>24201</v>
      </c>
      <c r="B90" s="632" t="s">
        <v>2176</v>
      </c>
      <c r="C90" s="633" t="s">
        <v>2177</v>
      </c>
      <c r="D90" s="634" t="s">
        <v>2178</v>
      </c>
    </row>
    <row r="91" spans="1:4" ht="16.5" customHeight="1" x14ac:dyDescent="0.2">
      <c r="A91" s="631">
        <v>24202</v>
      </c>
      <c r="B91" s="632" t="s">
        <v>2179</v>
      </c>
      <c r="C91" s="633">
        <v>27508</v>
      </c>
      <c r="D91" s="634" t="s">
        <v>2180</v>
      </c>
    </row>
    <row r="92" spans="1:4" ht="16.5" customHeight="1" x14ac:dyDescent="0.2">
      <c r="A92" s="631">
        <v>24203</v>
      </c>
      <c r="B92" s="632" t="s">
        <v>2181</v>
      </c>
      <c r="C92" s="633" t="s">
        <v>2182</v>
      </c>
      <c r="D92" s="634" t="s">
        <v>2183</v>
      </c>
    </row>
    <row r="93" spans="1:4" ht="16.5" customHeight="1" x14ac:dyDescent="0.2">
      <c r="A93" s="631">
        <v>24204</v>
      </c>
      <c r="B93" s="632" t="s">
        <v>2184</v>
      </c>
      <c r="C93" s="633">
        <v>27510</v>
      </c>
      <c r="D93" s="634" t="s">
        <v>2185</v>
      </c>
    </row>
    <row r="94" spans="1:4" ht="16.5" customHeight="1" x14ac:dyDescent="0.2">
      <c r="A94" s="631">
        <v>24401</v>
      </c>
      <c r="B94" s="632" t="s">
        <v>217</v>
      </c>
      <c r="C94" s="633" t="s">
        <v>2186</v>
      </c>
      <c r="D94" s="634" t="s">
        <v>2187</v>
      </c>
    </row>
    <row r="95" spans="1:4" ht="16.5" customHeight="1" x14ac:dyDescent="0.2">
      <c r="A95" s="631">
        <v>24601</v>
      </c>
      <c r="B95" s="632" t="s">
        <v>218</v>
      </c>
      <c r="C95" s="633" t="s">
        <v>2188</v>
      </c>
      <c r="D95" s="634" t="s">
        <v>2189</v>
      </c>
    </row>
    <row r="96" spans="1:4" ht="16.5" customHeight="1" x14ac:dyDescent="0.2">
      <c r="A96" s="631">
        <v>24701</v>
      </c>
      <c r="B96" s="632" t="s">
        <v>2022</v>
      </c>
      <c r="C96" s="633" t="s">
        <v>2190</v>
      </c>
      <c r="D96" s="634" t="s">
        <v>2191</v>
      </c>
    </row>
    <row r="97" spans="1:4" ht="16.5" customHeight="1" x14ac:dyDescent="0.2">
      <c r="A97" s="631">
        <v>26001</v>
      </c>
      <c r="B97" s="632" t="s">
        <v>2192</v>
      </c>
      <c r="C97" s="633" t="s">
        <v>2193</v>
      </c>
      <c r="D97" s="634" t="s">
        <v>2194</v>
      </c>
    </row>
    <row r="98" spans="1:4" ht="16.5" customHeight="1" x14ac:dyDescent="0.2">
      <c r="A98" s="631">
        <v>26002</v>
      </c>
      <c r="B98" s="632" t="s">
        <v>2195</v>
      </c>
      <c r="C98" s="633" t="s">
        <v>2196</v>
      </c>
      <c r="D98" s="634" t="s">
        <v>2197</v>
      </c>
    </row>
    <row r="99" spans="1:4" ht="16.5" customHeight="1" x14ac:dyDescent="0.2">
      <c r="A99" s="631">
        <v>26003</v>
      </c>
      <c r="B99" s="632" t="s">
        <v>2198</v>
      </c>
      <c r="C99" s="633" t="s">
        <v>2199</v>
      </c>
      <c r="D99" s="634" t="s">
        <v>2200</v>
      </c>
    </row>
    <row r="100" spans="1:4" ht="16.5" customHeight="1" x14ac:dyDescent="0.2">
      <c r="A100" s="631">
        <v>26101</v>
      </c>
      <c r="B100" s="632" t="s">
        <v>2201</v>
      </c>
      <c r="C100" s="633" t="s">
        <v>2202</v>
      </c>
      <c r="D100" s="634" t="s">
        <v>2203</v>
      </c>
    </row>
    <row r="101" spans="1:4" ht="16.5" customHeight="1" x14ac:dyDescent="0.2">
      <c r="A101" s="631">
        <v>26102</v>
      </c>
      <c r="B101" s="632" t="s">
        <v>2204</v>
      </c>
      <c r="C101" s="633" t="s">
        <v>2205</v>
      </c>
      <c r="D101" s="634" t="s">
        <v>2206</v>
      </c>
    </row>
    <row r="102" spans="1:4" ht="16.5" customHeight="1" x14ac:dyDescent="0.2">
      <c r="A102" s="631">
        <v>26103</v>
      </c>
      <c r="B102" s="632" t="s">
        <v>2207</v>
      </c>
      <c r="C102" s="633" t="s">
        <v>2208</v>
      </c>
      <c r="D102" s="634" t="s">
        <v>2209</v>
      </c>
    </row>
    <row r="103" spans="1:4" ht="16.5" customHeight="1" x14ac:dyDescent="0.2">
      <c r="A103" s="631">
        <v>26104</v>
      </c>
      <c r="B103" s="632" t="s">
        <v>2210</v>
      </c>
      <c r="C103" s="633">
        <v>27601</v>
      </c>
      <c r="D103" s="634" t="s">
        <v>2024</v>
      </c>
    </row>
    <row r="104" spans="1:4" ht="16.5" customHeight="1" x14ac:dyDescent="0.2">
      <c r="A104" s="631">
        <v>26105</v>
      </c>
      <c r="B104" s="632" t="s">
        <v>2211</v>
      </c>
      <c r="C104" s="633">
        <v>28001</v>
      </c>
      <c r="D104" s="634" t="s">
        <v>233</v>
      </c>
    </row>
    <row r="105" spans="1:4" ht="16.5" customHeight="1" x14ac:dyDescent="0.2">
      <c r="A105" s="631">
        <v>26106</v>
      </c>
      <c r="B105" s="632" t="s">
        <v>2212</v>
      </c>
      <c r="C105" s="633">
        <v>28101</v>
      </c>
      <c r="D105" s="634" t="s">
        <v>234</v>
      </c>
    </row>
    <row r="106" spans="1:4" ht="16.5" customHeight="1" x14ac:dyDescent="0.2">
      <c r="A106" s="631">
        <v>26107</v>
      </c>
      <c r="B106" s="632" t="s">
        <v>2213</v>
      </c>
      <c r="C106" s="633">
        <v>28201</v>
      </c>
      <c r="D106" s="634" t="s">
        <v>235</v>
      </c>
    </row>
    <row r="107" spans="1:4" ht="16.5" customHeight="1" x14ac:dyDescent="0.2">
      <c r="A107" s="631" t="s">
        <v>2214</v>
      </c>
      <c r="B107" s="632" t="s">
        <v>2215</v>
      </c>
      <c r="C107" s="633">
        <v>28301</v>
      </c>
      <c r="D107" s="634" t="s">
        <v>236</v>
      </c>
    </row>
    <row r="108" spans="1:4" ht="16.5" customHeight="1" x14ac:dyDescent="0.2">
      <c r="A108" s="631" t="s">
        <v>2216</v>
      </c>
      <c r="B108" s="632" t="s">
        <v>2217</v>
      </c>
      <c r="C108" s="633">
        <v>29001</v>
      </c>
      <c r="D108" s="634" t="s">
        <v>2218</v>
      </c>
    </row>
    <row r="109" spans="1:4" ht="16.5" customHeight="1" x14ac:dyDescent="0.2">
      <c r="A109" s="631">
        <v>26501</v>
      </c>
      <c r="B109" s="632" t="s">
        <v>2219</v>
      </c>
      <c r="C109" s="633">
        <v>29002</v>
      </c>
      <c r="D109" s="634" t="s">
        <v>2220</v>
      </c>
    </row>
    <row r="110" spans="1:4" ht="16.5" customHeight="1" x14ac:dyDescent="0.2">
      <c r="A110" s="631">
        <v>26502</v>
      </c>
      <c r="B110" s="632" t="s">
        <v>2221</v>
      </c>
      <c r="C110" s="633">
        <v>29003</v>
      </c>
      <c r="D110" s="634" t="s">
        <v>2222</v>
      </c>
    </row>
    <row r="111" spans="1:4" ht="16.5" customHeight="1" x14ac:dyDescent="0.2">
      <c r="A111" s="631">
        <v>26503</v>
      </c>
      <c r="B111" s="632" t="s">
        <v>2223</v>
      </c>
      <c r="C111" s="633">
        <v>29004</v>
      </c>
      <c r="D111" s="634" t="s">
        <v>2224</v>
      </c>
    </row>
    <row r="112" spans="1:4" ht="16.5" customHeight="1" x14ac:dyDescent="0.2">
      <c r="A112" s="631">
        <v>26504</v>
      </c>
      <c r="B112" s="632" t="s">
        <v>2225</v>
      </c>
      <c r="C112" s="633">
        <v>29005</v>
      </c>
      <c r="D112" s="634" t="s">
        <v>2226</v>
      </c>
    </row>
    <row r="113" spans="1:6" ht="16.5" customHeight="1" x14ac:dyDescent="0.2">
      <c r="A113" s="631">
        <v>26505</v>
      </c>
      <c r="B113" s="632" t="s">
        <v>2227</v>
      </c>
      <c r="C113" s="633" t="s">
        <v>2228</v>
      </c>
      <c r="D113" s="634" t="s">
        <v>2229</v>
      </c>
    </row>
    <row r="114" spans="1:6" ht="16.5" customHeight="1" x14ac:dyDescent="0.2">
      <c r="A114" s="631">
        <v>26506</v>
      </c>
      <c r="B114" s="632" t="s">
        <v>2230</v>
      </c>
      <c r="C114" s="633">
        <v>29201</v>
      </c>
      <c r="D114" s="634" t="s">
        <v>2231</v>
      </c>
    </row>
    <row r="115" spans="1:6" ht="16.5" customHeight="1" x14ac:dyDescent="0.2">
      <c r="A115" s="631">
        <v>26601</v>
      </c>
      <c r="B115" s="632" t="s">
        <v>2232</v>
      </c>
      <c r="C115" s="633">
        <v>29202</v>
      </c>
      <c r="D115" s="634" t="s">
        <v>2233</v>
      </c>
    </row>
    <row r="116" spans="1:6" ht="16.5" customHeight="1" x14ac:dyDescent="0.2">
      <c r="A116" s="631">
        <v>26602</v>
      </c>
      <c r="B116" s="632" t="s">
        <v>2234</v>
      </c>
      <c r="C116" s="633">
        <v>29203</v>
      </c>
      <c r="D116" s="634" t="s">
        <v>2235</v>
      </c>
    </row>
    <row r="117" spans="1:6" ht="16.5" customHeight="1" x14ac:dyDescent="0.2">
      <c r="A117" s="631">
        <v>26603</v>
      </c>
      <c r="B117" s="632" t="s">
        <v>2236</v>
      </c>
      <c r="C117" s="633">
        <v>29204</v>
      </c>
      <c r="D117" s="634" t="s">
        <v>2237</v>
      </c>
    </row>
    <row r="118" spans="1:6" ht="16.5" customHeight="1" x14ac:dyDescent="0.2">
      <c r="A118" s="631">
        <v>26604</v>
      </c>
      <c r="B118" s="632" t="s">
        <v>2238</v>
      </c>
      <c r="C118" s="633">
        <v>29205</v>
      </c>
      <c r="D118" s="634" t="s">
        <v>2239</v>
      </c>
    </row>
    <row r="119" spans="1:6" ht="16.5" customHeight="1" x14ac:dyDescent="0.2">
      <c r="A119" s="631">
        <v>26605</v>
      </c>
      <c r="B119" s="632" t="s">
        <v>1794</v>
      </c>
      <c r="C119" s="633">
        <v>29206</v>
      </c>
      <c r="D119" s="634" t="s">
        <v>2240</v>
      </c>
    </row>
    <row r="120" spans="1:6" ht="16.5" customHeight="1" x14ac:dyDescent="0.2">
      <c r="A120" s="631" t="s">
        <v>2241</v>
      </c>
      <c r="B120" s="632" t="s">
        <v>2242</v>
      </c>
      <c r="C120" s="633">
        <v>29213</v>
      </c>
      <c r="D120" s="634" t="s">
        <v>2243</v>
      </c>
    </row>
    <row r="121" spans="1:6" ht="16.5" customHeight="1" x14ac:dyDescent="0.2">
      <c r="A121" s="631">
        <v>29207</v>
      </c>
      <c r="B121" s="632" t="s">
        <v>2244</v>
      </c>
      <c r="C121" s="633">
        <v>29214</v>
      </c>
      <c r="D121" s="634" t="s">
        <v>2245</v>
      </c>
    </row>
    <row r="122" spans="1:6" ht="16.5" customHeight="1" x14ac:dyDescent="0.2">
      <c r="A122" s="631">
        <v>29208</v>
      </c>
      <c r="B122" s="632" t="s">
        <v>2246</v>
      </c>
      <c r="C122" s="633">
        <v>29215</v>
      </c>
      <c r="D122" s="634" t="s">
        <v>2247</v>
      </c>
    </row>
    <row r="123" spans="1:6" ht="16.5" customHeight="1" x14ac:dyDescent="0.2">
      <c r="A123" s="631">
        <v>29209</v>
      </c>
      <c r="B123" s="632" t="s">
        <v>2248</v>
      </c>
      <c r="C123" s="633">
        <v>29216</v>
      </c>
      <c r="D123" s="634" t="s">
        <v>2249</v>
      </c>
    </row>
    <row r="124" spans="1:6" ht="16.5" customHeight="1" x14ac:dyDescent="0.2">
      <c r="A124" s="631">
        <v>29210</v>
      </c>
      <c r="B124" s="632" t="s">
        <v>2250</v>
      </c>
      <c r="C124" s="633">
        <v>29301</v>
      </c>
      <c r="D124" s="634" t="s">
        <v>240</v>
      </c>
    </row>
    <row r="125" spans="1:6" ht="16.5" customHeight="1" x14ac:dyDescent="0.2">
      <c r="A125" s="631">
        <v>29211</v>
      </c>
      <c r="B125" s="632" t="s">
        <v>2251</v>
      </c>
      <c r="C125" s="633">
        <v>29999</v>
      </c>
      <c r="D125" s="634" t="s">
        <v>2252</v>
      </c>
    </row>
    <row r="126" spans="1:6" ht="16.5" customHeight="1" x14ac:dyDescent="0.2">
      <c r="A126" s="631">
        <v>29212</v>
      </c>
      <c r="B126" s="632" t="s">
        <v>2253</v>
      </c>
      <c r="C126" s="633"/>
      <c r="D126" s="634"/>
    </row>
    <row r="128" spans="1:6" s="612" customFormat="1" ht="20.25" thickBot="1" x14ac:dyDescent="0.25">
      <c r="A128" s="607"/>
      <c r="B128" s="608" t="s">
        <v>2254</v>
      </c>
      <c r="C128" s="609"/>
      <c r="D128" s="609"/>
      <c r="E128" s="610"/>
      <c r="F128" s="611"/>
    </row>
    <row r="129" spans="1:4" ht="16.5" customHeight="1" x14ac:dyDescent="0.2">
      <c r="A129" s="631">
        <v>110</v>
      </c>
      <c r="B129" s="632" t="s">
        <v>2255</v>
      </c>
      <c r="C129" s="633">
        <v>130</v>
      </c>
      <c r="D129" s="634" t="s">
        <v>2256</v>
      </c>
    </row>
    <row r="130" spans="1:4" ht="16.5" customHeight="1" x14ac:dyDescent="0.2">
      <c r="A130" s="631">
        <v>115</v>
      </c>
      <c r="B130" s="632" t="s">
        <v>2257</v>
      </c>
      <c r="C130" s="633">
        <v>135</v>
      </c>
      <c r="D130" s="634" t="s">
        <v>2258</v>
      </c>
    </row>
    <row r="131" spans="1:4" ht="16.5" customHeight="1" x14ac:dyDescent="0.2">
      <c r="A131" s="631">
        <v>120</v>
      </c>
      <c r="B131" s="632" t="s">
        <v>2259</v>
      </c>
      <c r="C131" s="633">
        <v>140</v>
      </c>
      <c r="D131" s="634" t="s">
        <v>2260</v>
      </c>
    </row>
    <row r="132" spans="1:4" ht="16.5" customHeight="1" x14ac:dyDescent="0.2">
      <c r="A132" s="631">
        <v>122</v>
      </c>
      <c r="B132" s="632" t="s">
        <v>2261</v>
      </c>
      <c r="C132" s="633">
        <v>145</v>
      </c>
      <c r="D132" s="634" t="s">
        <v>2262</v>
      </c>
    </row>
    <row r="133" spans="1:4" ht="16.5" customHeight="1" x14ac:dyDescent="0.2">
      <c r="A133" s="631">
        <v>125</v>
      </c>
      <c r="B133" s="632" t="s">
        <v>2263</v>
      </c>
      <c r="C133" s="633">
        <v>150</v>
      </c>
      <c r="D133" s="634" t="s">
        <v>2264</v>
      </c>
    </row>
    <row r="134" spans="1:4" ht="16.5" customHeight="1" x14ac:dyDescent="0.2">
      <c r="A134" s="631">
        <v>129</v>
      </c>
      <c r="B134" s="632" t="s">
        <v>24</v>
      </c>
      <c r="C134" s="633">
        <v>160</v>
      </c>
      <c r="D134" s="634" t="s">
        <v>2265</v>
      </c>
    </row>
    <row r="136" spans="1:4" ht="16.5" customHeight="1" thickBot="1" x14ac:dyDescent="0.25">
      <c r="A136" s="607"/>
      <c r="B136" s="608" t="s">
        <v>2266</v>
      </c>
      <c r="C136" s="609"/>
      <c r="D136" s="609"/>
    </row>
    <row r="137" spans="1:4" ht="16.5" customHeight="1" x14ac:dyDescent="0.2">
      <c r="A137" s="631" t="s">
        <v>2267</v>
      </c>
      <c r="B137" s="632" t="s">
        <v>2268</v>
      </c>
      <c r="C137" s="633" t="s">
        <v>2269</v>
      </c>
      <c r="D137" s="634" t="s">
        <v>2270</v>
      </c>
    </row>
    <row r="138" spans="1:4" ht="16.5" customHeight="1" x14ac:dyDescent="0.2">
      <c r="A138" s="631" t="s">
        <v>2271</v>
      </c>
      <c r="B138" s="632" t="s">
        <v>2272</v>
      </c>
      <c r="C138" s="633" t="s">
        <v>2273</v>
      </c>
      <c r="D138" s="634" t="s">
        <v>2274</v>
      </c>
    </row>
    <row r="139" spans="1:4" ht="16.5" customHeight="1" x14ac:dyDescent="0.2">
      <c r="A139" s="631" t="s">
        <v>2271</v>
      </c>
      <c r="B139" s="632" t="s">
        <v>2272</v>
      </c>
      <c r="C139" s="633" t="s">
        <v>2275</v>
      </c>
      <c r="D139" s="634" t="s">
        <v>2276</v>
      </c>
    </row>
    <row r="140" spans="1:4" ht="16.5" customHeight="1" x14ac:dyDescent="0.2">
      <c r="A140" s="631" t="s">
        <v>2277</v>
      </c>
      <c r="B140" s="632" t="s">
        <v>1172</v>
      </c>
      <c r="C140" s="633" t="s">
        <v>2278</v>
      </c>
      <c r="D140" s="634" t="s">
        <v>1358</v>
      </c>
    </row>
    <row r="141" spans="1:4" ht="16.5" customHeight="1" x14ac:dyDescent="0.2">
      <c r="A141" s="631" t="s">
        <v>2279</v>
      </c>
      <c r="B141" s="632" t="s">
        <v>20</v>
      </c>
      <c r="C141" s="633" t="s">
        <v>2280</v>
      </c>
      <c r="D141" s="634" t="s">
        <v>2281</v>
      </c>
    </row>
    <row r="142" spans="1:4" ht="16.5" customHeight="1" x14ac:dyDescent="0.2">
      <c r="A142" s="631" t="s">
        <v>2282</v>
      </c>
      <c r="B142" s="632" t="s">
        <v>2283</v>
      </c>
      <c r="C142" s="633" t="s">
        <v>2284</v>
      </c>
      <c r="D142" s="634" t="s">
        <v>2285</v>
      </c>
    </row>
    <row r="143" spans="1:4" ht="16.5" customHeight="1" x14ac:dyDescent="0.2">
      <c r="A143" s="631" t="s">
        <v>2286</v>
      </c>
      <c r="B143" s="632" t="s">
        <v>1047</v>
      </c>
      <c r="C143" s="633" t="s">
        <v>2287</v>
      </c>
      <c r="D143" s="634" t="s">
        <v>338</v>
      </c>
    </row>
    <row r="144" spans="1:4" ht="16.5" customHeight="1" x14ac:dyDescent="0.2">
      <c r="A144" s="631" t="s">
        <v>2288</v>
      </c>
      <c r="B144" s="632" t="s">
        <v>1174</v>
      </c>
      <c r="C144" s="633" t="s">
        <v>2289</v>
      </c>
      <c r="D144" s="634" t="s">
        <v>1359</v>
      </c>
    </row>
    <row r="145" spans="1:4" ht="16.5" customHeight="1" x14ac:dyDescent="0.2">
      <c r="A145" s="631" t="s">
        <v>2290</v>
      </c>
      <c r="B145" s="632" t="s">
        <v>2291</v>
      </c>
      <c r="C145" s="633" t="s">
        <v>2292</v>
      </c>
      <c r="D145" s="634" t="s">
        <v>1360</v>
      </c>
    </row>
    <row r="146" spans="1:4" ht="16.5" customHeight="1" x14ac:dyDescent="0.2">
      <c r="A146" s="631" t="s">
        <v>2293</v>
      </c>
      <c r="B146" s="632" t="s">
        <v>2294</v>
      </c>
      <c r="C146" s="633" t="s">
        <v>2295</v>
      </c>
      <c r="D146" s="634" t="s">
        <v>2296</v>
      </c>
    </row>
    <row r="147" spans="1:4" ht="16.5" customHeight="1" x14ac:dyDescent="0.2">
      <c r="A147" s="631" t="s">
        <v>2297</v>
      </c>
      <c r="B147" s="632" t="s">
        <v>2298</v>
      </c>
      <c r="C147" s="633" t="s">
        <v>2299</v>
      </c>
      <c r="D147" s="634" t="s">
        <v>2300</v>
      </c>
    </row>
    <row r="148" spans="1:4" ht="16.5" customHeight="1" x14ac:dyDescent="0.2">
      <c r="A148" s="631" t="s">
        <v>2301</v>
      </c>
      <c r="B148" s="632" t="s">
        <v>2302</v>
      </c>
      <c r="C148" s="633" t="s">
        <v>2303</v>
      </c>
      <c r="D148" s="634" t="s">
        <v>1183</v>
      </c>
    </row>
    <row r="149" spans="1:4" ht="16.5" customHeight="1" x14ac:dyDescent="0.2">
      <c r="A149" s="631" t="s">
        <v>2304</v>
      </c>
      <c r="B149" s="632" t="s">
        <v>2305</v>
      </c>
      <c r="C149" s="633" t="s">
        <v>2306</v>
      </c>
      <c r="D149" s="634" t="s">
        <v>2307</v>
      </c>
    </row>
    <row r="150" spans="1:4" ht="16.5" customHeight="1" x14ac:dyDescent="0.2">
      <c r="A150" s="631" t="s">
        <v>2308</v>
      </c>
      <c r="B150" s="632" t="s">
        <v>2309</v>
      </c>
      <c r="C150" s="633" t="s">
        <v>2310</v>
      </c>
      <c r="D150" s="634" t="s">
        <v>2311</v>
      </c>
    </row>
    <row r="151" spans="1:4" ht="16.5" customHeight="1" x14ac:dyDescent="0.2">
      <c r="A151" s="631" t="s">
        <v>2312</v>
      </c>
      <c r="B151" s="632" t="s">
        <v>2313</v>
      </c>
      <c r="C151" s="633" t="s">
        <v>2314</v>
      </c>
      <c r="D151" s="634" t="s">
        <v>2315</v>
      </c>
    </row>
    <row r="152" spans="1:4" ht="16.5" customHeight="1" x14ac:dyDescent="0.2">
      <c r="A152" s="631" t="s">
        <v>2316</v>
      </c>
      <c r="B152" s="632" t="s">
        <v>2317</v>
      </c>
      <c r="C152" s="633" t="s">
        <v>2318</v>
      </c>
      <c r="D152" s="634" t="s">
        <v>2319</v>
      </c>
    </row>
    <row r="153" spans="1:4" ht="16.5" customHeight="1" x14ac:dyDescent="0.2">
      <c r="A153" s="631" t="s">
        <v>2320</v>
      </c>
      <c r="B153" s="632" t="s">
        <v>2321</v>
      </c>
      <c r="C153" s="633" t="s">
        <v>2322</v>
      </c>
      <c r="D153" s="634" t="s">
        <v>2323</v>
      </c>
    </row>
    <row r="154" spans="1:4" ht="16.5" customHeight="1" x14ac:dyDescent="0.2">
      <c r="A154" s="631" t="s">
        <v>2324</v>
      </c>
      <c r="B154" s="632" t="s">
        <v>2325</v>
      </c>
      <c r="C154" s="633" t="s">
        <v>2326</v>
      </c>
      <c r="D154" s="634" t="s">
        <v>1143</v>
      </c>
    </row>
    <row r="155" spans="1:4" ht="16.5" customHeight="1" x14ac:dyDescent="0.2">
      <c r="A155" s="631" t="s">
        <v>2327</v>
      </c>
      <c r="B155" s="632" t="s">
        <v>2328</v>
      </c>
      <c r="C155" s="633" t="s">
        <v>2329</v>
      </c>
      <c r="D155" s="634" t="s">
        <v>1185</v>
      </c>
    </row>
    <row r="156" spans="1:4" ht="16.5" customHeight="1" x14ac:dyDescent="0.2">
      <c r="A156" s="631" t="s">
        <v>2330</v>
      </c>
      <c r="B156" s="632" t="s">
        <v>2331</v>
      </c>
      <c r="C156" s="633">
        <v>13509</v>
      </c>
      <c r="D156" s="634" t="s">
        <v>2332</v>
      </c>
    </row>
    <row r="157" spans="1:4" ht="16.5" customHeight="1" x14ac:dyDescent="0.2">
      <c r="A157" s="631" t="s">
        <v>2333</v>
      </c>
      <c r="B157" s="632" t="s">
        <v>2334</v>
      </c>
      <c r="C157" s="633">
        <v>13510</v>
      </c>
      <c r="D157" s="634" t="s">
        <v>2335</v>
      </c>
    </row>
    <row r="158" spans="1:4" ht="16.5" customHeight="1" x14ac:dyDescent="0.2">
      <c r="A158" s="631" t="s">
        <v>2336</v>
      </c>
      <c r="B158" s="632" t="s">
        <v>2337</v>
      </c>
      <c r="C158" s="633">
        <v>13511</v>
      </c>
      <c r="D158" s="634" t="s">
        <v>2338</v>
      </c>
    </row>
    <row r="159" spans="1:4" ht="16.5" customHeight="1" x14ac:dyDescent="0.2">
      <c r="A159" s="631" t="s">
        <v>2339</v>
      </c>
      <c r="B159" s="632" t="s">
        <v>2340</v>
      </c>
      <c r="C159" s="633" t="s">
        <v>2341</v>
      </c>
      <c r="D159" s="634" t="s">
        <v>1146</v>
      </c>
    </row>
    <row r="160" spans="1:4" ht="16.5" customHeight="1" x14ac:dyDescent="0.2">
      <c r="A160" s="631" t="s">
        <v>2342</v>
      </c>
      <c r="B160" s="632" t="s">
        <v>2343</v>
      </c>
      <c r="C160" s="633" t="s">
        <v>2344</v>
      </c>
      <c r="D160" s="634" t="s">
        <v>2345</v>
      </c>
    </row>
    <row r="161" spans="1:4" ht="16.5" customHeight="1" x14ac:dyDescent="0.2">
      <c r="A161" s="631" t="s">
        <v>2346</v>
      </c>
      <c r="B161" s="632" t="s">
        <v>2347</v>
      </c>
      <c r="C161" s="633">
        <v>14505</v>
      </c>
      <c r="D161" s="634" t="s">
        <v>2348</v>
      </c>
    </row>
    <row r="162" spans="1:4" ht="16.5" customHeight="1" x14ac:dyDescent="0.2">
      <c r="A162" s="631" t="s">
        <v>2349</v>
      </c>
      <c r="B162" s="632" t="s">
        <v>1140</v>
      </c>
      <c r="C162" s="633" t="s">
        <v>2350</v>
      </c>
      <c r="D162" s="634" t="s">
        <v>2351</v>
      </c>
    </row>
    <row r="163" spans="1:4" ht="16.5" customHeight="1" x14ac:dyDescent="0.2">
      <c r="A163" s="631" t="s">
        <v>2352</v>
      </c>
      <c r="B163" s="632" t="s">
        <v>2353</v>
      </c>
      <c r="C163" s="633" t="s">
        <v>2354</v>
      </c>
      <c r="D163" s="634" t="s">
        <v>1059</v>
      </c>
    </row>
    <row r="164" spans="1:4" ht="16.5" customHeight="1" x14ac:dyDescent="0.2">
      <c r="A164" s="631" t="s">
        <v>2355</v>
      </c>
      <c r="B164" s="632" t="s">
        <v>2356</v>
      </c>
      <c r="C164" s="633" t="s">
        <v>2357</v>
      </c>
      <c r="D164" s="634" t="s">
        <v>2358</v>
      </c>
    </row>
    <row r="165" spans="1:4" ht="16.5" customHeight="1" x14ac:dyDescent="0.2">
      <c r="A165" s="631" t="s">
        <v>2359</v>
      </c>
      <c r="B165" s="632" t="s">
        <v>2360</v>
      </c>
      <c r="C165" s="633" t="s">
        <v>2361</v>
      </c>
      <c r="D165" s="634" t="s">
        <v>2362</v>
      </c>
    </row>
    <row r="166" spans="1:4" ht="16.5" customHeight="1" x14ac:dyDescent="0.2">
      <c r="A166" s="631" t="s">
        <v>2363</v>
      </c>
      <c r="B166" s="632" t="s">
        <v>1179</v>
      </c>
      <c r="C166" s="633" t="s">
        <v>2364</v>
      </c>
      <c r="D166" s="634" t="s">
        <v>1316</v>
      </c>
    </row>
    <row r="167" spans="1:4" ht="16.5" customHeight="1" x14ac:dyDescent="0.2">
      <c r="A167" s="631" t="s">
        <v>2365</v>
      </c>
      <c r="B167" s="632" t="s">
        <v>2366</v>
      </c>
      <c r="C167" s="633" t="s">
        <v>2367</v>
      </c>
      <c r="D167" s="634" t="s">
        <v>2368</v>
      </c>
    </row>
    <row r="168" spans="1:4" ht="16.5" customHeight="1" x14ac:dyDescent="0.2">
      <c r="A168" s="631">
        <v>12901</v>
      </c>
      <c r="B168" s="632" t="s">
        <v>2369</v>
      </c>
      <c r="C168" s="633" t="s">
        <v>2370</v>
      </c>
      <c r="D168" s="634" t="s">
        <v>1862</v>
      </c>
    </row>
    <row r="169" spans="1:4" ht="16.5" customHeight="1" x14ac:dyDescent="0.2">
      <c r="A169" s="631">
        <v>12902</v>
      </c>
      <c r="B169" s="632" t="s">
        <v>2371</v>
      </c>
      <c r="C169" s="633" t="s">
        <v>2372</v>
      </c>
      <c r="D169" s="634" t="s">
        <v>1558</v>
      </c>
    </row>
    <row r="170" spans="1:4" ht="16.5" customHeight="1" x14ac:dyDescent="0.2">
      <c r="A170" s="631">
        <v>12903</v>
      </c>
      <c r="B170" s="632" t="s">
        <v>2373</v>
      </c>
      <c r="C170" s="633" t="s">
        <v>2374</v>
      </c>
      <c r="D170" s="634" t="s">
        <v>2375</v>
      </c>
    </row>
    <row r="171" spans="1:4" ht="16.5" customHeight="1" x14ac:dyDescent="0.2">
      <c r="A171" s="631" t="s">
        <v>2376</v>
      </c>
      <c r="B171" s="632" t="s">
        <v>217</v>
      </c>
      <c r="C171" s="633" t="s">
        <v>2377</v>
      </c>
      <c r="D171" s="634" t="s">
        <v>2378</v>
      </c>
    </row>
    <row r="172" spans="1:4" ht="16.5" customHeight="1" x14ac:dyDescent="0.2">
      <c r="A172" s="631" t="s">
        <v>2379</v>
      </c>
      <c r="B172" s="632" t="s">
        <v>888</v>
      </c>
      <c r="C172" s="633" t="s">
        <v>2380</v>
      </c>
      <c r="D172" s="634" t="s">
        <v>1318</v>
      </c>
    </row>
    <row r="173" spans="1:4" ht="16.5" customHeight="1" x14ac:dyDescent="0.2">
      <c r="A173" s="635" t="s">
        <v>2381</v>
      </c>
      <c r="B173" s="636" t="s">
        <v>2382</v>
      </c>
      <c r="C173" s="637" t="s">
        <v>2383</v>
      </c>
      <c r="D173" s="638" t="s">
        <v>1031</v>
      </c>
    </row>
    <row r="174" spans="1:4" ht="16.5" customHeight="1" x14ac:dyDescent="0.2">
      <c r="A174" s="631" t="s">
        <v>2384</v>
      </c>
      <c r="B174" s="632" t="s">
        <v>544</v>
      </c>
      <c r="C174" s="633" t="s">
        <v>2385</v>
      </c>
      <c r="D174" s="634" t="s">
        <v>2386</v>
      </c>
    </row>
    <row r="175" spans="1:4" ht="16.5" customHeight="1" x14ac:dyDescent="0.2">
      <c r="A175" s="635" t="s">
        <v>2387</v>
      </c>
      <c r="B175" s="636" t="s">
        <v>2388</v>
      </c>
      <c r="C175" s="637" t="s">
        <v>2389</v>
      </c>
      <c r="D175" s="638" t="s">
        <v>2390</v>
      </c>
    </row>
    <row r="176" spans="1:4" ht="16.5" customHeight="1" x14ac:dyDescent="0.2">
      <c r="A176" s="631" t="s">
        <v>2391</v>
      </c>
      <c r="B176" s="632" t="s">
        <v>2392</v>
      </c>
      <c r="C176" s="633" t="s">
        <v>2393</v>
      </c>
      <c r="D176" s="634" t="s">
        <v>1319</v>
      </c>
    </row>
    <row r="177" spans="1:4" ht="16.5" customHeight="1" x14ac:dyDescent="0.2">
      <c r="A177" s="635" t="s">
        <v>2394</v>
      </c>
      <c r="B177" s="636" t="s">
        <v>1223</v>
      </c>
      <c r="C177" s="637" t="s">
        <v>2395</v>
      </c>
      <c r="D177" s="638" t="s">
        <v>2396</v>
      </c>
    </row>
    <row r="178" spans="1:4" ht="16.5" customHeight="1" x14ac:dyDescent="0.2">
      <c r="A178" s="631" t="s">
        <v>2397</v>
      </c>
      <c r="B178" s="632" t="s">
        <v>463</v>
      </c>
      <c r="C178" s="633" t="s">
        <v>2398</v>
      </c>
      <c r="D178" s="634" t="s">
        <v>2399</v>
      </c>
    </row>
    <row r="179" spans="1:4" ht="16.5" customHeight="1" x14ac:dyDescent="0.2">
      <c r="A179" s="635" t="s">
        <v>2400</v>
      </c>
      <c r="B179" s="636" t="s">
        <v>2401</v>
      </c>
      <c r="C179" s="637" t="s">
        <v>2402</v>
      </c>
      <c r="D179" s="638" t="s">
        <v>1225</v>
      </c>
    </row>
    <row r="180" spans="1:4" ht="16.5" customHeight="1" x14ac:dyDescent="0.2">
      <c r="A180" s="631" t="s">
        <v>2403</v>
      </c>
      <c r="B180" s="632" t="s">
        <v>2404</v>
      </c>
      <c r="C180" s="633" t="s">
        <v>2405</v>
      </c>
      <c r="D180" s="634" t="s">
        <v>1148</v>
      </c>
    </row>
    <row r="181" spans="1:4" x14ac:dyDescent="0.2">
      <c r="A181" s="635" t="s">
        <v>2403</v>
      </c>
      <c r="B181" s="636" t="s">
        <v>2406</v>
      </c>
      <c r="C181" s="637" t="s">
        <v>2405</v>
      </c>
      <c r="D181" s="638" t="s">
        <v>1148</v>
      </c>
    </row>
    <row r="182" spans="1:4" x14ac:dyDescent="0.2">
      <c r="A182" s="631" t="s">
        <v>2407</v>
      </c>
      <c r="B182" s="632" t="s">
        <v>1357</v>
      </c>
      <c r="C182" s="633" t="s">
        <v>2408</v>
      </c>
      <c r="D182" s="634" t="s">
        <v>2409</v>
      </c>
    </row>
    <row r="183" spans="1:4" x14ac:dyDescent="0.2">
      <c r="A183" s="635" t="s">
        <v>2410</v>
      </c>
      <c r="B183" s="636" t="s">
        <v>2411</v>
      </c>
      <c r="C183" s="637" t="s">
        <v>2412</v>
      </c>
      <c r="D183" s="638" t="s">
        <v>2413</v>
      </c>
    </row>
    <row r="184" spans="1:4" x14ac:dyDescent="0.2">
      <c r="A184" s="631" t="s">
        <v>2414</v>
      </c>
      <c r="B184" s="632" t="s">
        <v>2415</v>
      </c>
      <c r="C184" s="633" t="s">
        <v>2416</v>
      </c>
      <c r="D184" s="634" t="s">
        <v>2417</v>
      </c>
    </row>
    <row r="185" spans="1:4" x14ac:dyDescent="0.2">
      <c r="A185" s="635" t="s">
        <v>2418</v>
      </c>
      <c r="B185" s="636" t="s">
        <v>337</v>
      </c>
      <c r="C185" s="637" t="s">
        <v>2419</v>
      </c>
      <c r="D185" s="638" t="s">
        <v>2420</v>
      </c>
    </row>
    <row r="186" spans="1:4" x14ac:dyDescent="0.2">
      <c r="A186" s="631" t="s">
        <v>2421</v>
      </c>
      <c r="B186" s="632" t="s">
        <v>2422</v>
      </c>
      <c r="C186" s="633" t="s">
        <v>2423</v>
      </c>
      <c r="D186" s="634" t="s">
        <v>2424</v>
      </c>
    </row>
    <row r="187" spans="1:4" x14ac:dyDescent="0.2">
      <c r="A187" s="635" t="s">
        <v>2425</v>
      </c>
      <c r="B187" s="636" t="s">
        <v>2426</v>
      </c>
      <c r="C187" s="637" t="s">
        <v>2427</v>
      </c>
      <c r="D187" s="638" t="s">
        <v>2428</v>
      </c>
    </row>
    <row r="188" spans="1:4" x14ac:dyDescent="0.2">
      <c r="A188" s="631" t="s">
        <v>2429</v>
      </c>
      <c r="B188" s="632" t="s">
        <v>2430</v>
      </c>
      <c r="C188" s="633" t="s">
        <v>2431</v>
      </c>
      <c r="D188" s="634" t="s">
        <v>29</v>
      </c>
    </row>
    <row r="189" spans="1:4" ht="19.5" x14ac:dyDescent="0.2">
      <c r="A189" s="635" t="s">
        <v>2432</v>
      </c>
      <c r="B189" s="636" t="s">
        <v>2433</v>
      </c>
      <c r="C189" s="639"/>
      <c r="D189" s="640"/>
    </row>
  </sheetData>
  <pageMargins left="0.7" right="0.7" top="0.3" bottom="0.3" header="0.3" footer="0.3"/>
  <pageSetup scale="71" fitToHeight="0" orientation="portrait" r:id="rId1"/>
  <rowBreaks count="2" manualBreakCount="2">
    <brk id="65" max="3" man="1"/>
    <brk id="126"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5"/>
  <sheetViews>
    <sheetView topLeftCell="B1" workbookViewId="0">
      <pane ySplit="615" activePane="bottomLeft"/>
      <selection activeCell="B1" sqref="B1"/>
      <selection pane="bottomLeft" activeCell="B1" sqref="B1"/>
    </sheetView>
  </sheetViews>
  <sheetFormatPr defaultColWidth="12.42578125" defaultRowHeight="15" x14ac:dyDescent="0.2"/>
  <cols>
    <col min="1" max="1" width="7" style="531" hidden="1" customWidth="1"/>
    <col min="2" max="2" width="9.5703125" style="646" bestFit="1" customWidth="1"/>
    <col min="3" max="3" width="8.42578125" style="646" customWidth="1"/>
    <col min="4" max="4" width="51.85546875" style="657" customWidth="1"/>
    <col min="5" max="5" width="18.7109375" style="657" customWidth="1"/>
    <col min="6" max="256" width="12.42578125" style="531"/>
    <col min="257" max="258" width="0" style="531" hidden="1" customWidth="1"/>
    <col min="259" max="259" width="8.42578125" style="531" customWidth="1"/>
    <col min="260" max="260" width="51.85546875" style="531" customWidth="1"/>
    <col min="261" max="261" width="18.7109375" style="531" customWidth="1"/>
    <col min="262" max="512" width="12.42578125" style="531"/>
    <col min="513" max="514" width="0" style="531" hidden="1" customWidth="1"/>
    <col min="515" max="515" width="8.42578125" style="531" customWidth="1"/>
    <col min="516" max="516" width="51.85546875" style="531" customWidth="1"/>
    <col min="517" max="517" width="18.7109375" style="531" customWidth="1"/>
    <col min="518" max="768" width="12.42578125" style="531"/>
    <col min="769" max="770" width="0" style="531" hidden="1" customWidth="1"/>
    <col min="771" max="771" width="8.42578125" style="531" customWidth="1"/>
    <col min="772" max="772" width="51.85546875" style="531" customWidth="1"/>
    <col min="773" max="773" width="18.7109375" style="531" customWidth="1"/>
    <col min="774" max="1024" width="12.42578125" style="531"/>
    <col min="1025" max="1026" width="0" style="531" hidden="1" customWidth="1"/>
    <col min="1027" max="1027" width="8.42578125" style="531" customWidth="1"/>
    <col min="1028" max="1028" width="51.85546875" style="531" customWidth="1"/>
    <col min="1029" max="1029" width="18.7109375" style="531" customWidth="1"/>
    <col min="1030" max="1280" width="12.42578125" style="531"/>
    <col min="1281" max="1282" width="0" style="531" hidden="1" customWidth="1"/>
    <col min="1283" max="1283" width="8.42578125" style="531" customWidth="1"/>
    <col min="1284" max="1284" width="51.85546875" style="531" customWidth="1"/>
    <col min="1285" max="1285" width="18.7109375" style="531" customWidth="1"/>
    <col min="1286" max="1536" width="12.42578125" style="531"/>
    <col min="1537" max="1538" width="0" style="531" hidden="1" customWidth="1"/>
    <col min="1539" max="1539" width="8.42578125" style="531" customWidth="1"/>
    <col min="1540" max="1540" width="51.85546875" style="531" customWidth="1"/>
    <col min="1541" max="1541" width="18.7109375" style="531" customWidth="1"/>
    <col min="1542" max="1792" width="12.42578125" style="531"/>
    <col min="1793" max="1794" width="0" style="531" hidden="1" customWidth="1"/>
    <col min="1795" max="1795" width="8.42578125" style="531" customWidth="1"/>
    <col min="1796" max="1796" width="51.85546875" style="531" customWidth="1"/>
    <col min="1797" max="1797" width="18.7109375" style="531" customWidth="1"/>
    <col min="1798" max="2048" width="12.42578125" style="531"/>
    <col min="2049" max="2050" width="0" style="531" hidden="1" customWidth="1"/>
    <col min="2051" max="2051" width="8.42578125" style="531" customWidth="1"/>
    <col min="2052" max="2052" width="51.85546875" style="531" customWidth="1"/>
    <col min="2053" max="2053" width="18.7109375" style="531" customWidth="1"/>
    <col min="2054" max="2304" width="12.42578125" style="531"/>
    <col min="2305" max="2306" width="0" style="531" hidden="1" customWidth="1"/>
    <col min="2307" max="2307" width="8.42578125" style="531" customWidth="1"/>
    <col min="2308" max="2308" width="51.85546875" style="531" customWidth="1"/>
    <col min="2309" max="2309" width="18.7109375" style="531" customWidth="1"/>
    <col min="2310" max="2560" width="12.42578125" style="531"/>
    <col min="2561" max="2562" width="0" style="531" hidden="1" customWidth="1"/>
    <col min="2563" max="2563" width="8.42578125" style="531" customWidth="1"/>
    <col min="2564" max="2564" width="51.85546875" style="531" customWidth="1"/>
    <col min="2565" max="2565" width="18.7109375" style="531" customWidth="1"/>
    <col min="2566" max="2816" width="12.42578125" style="531"/>
    <col min="2817" max="2818" width="0" style="531" hidden="1" customWidth="1"/>
    <col min="2819" max="2819" width="8.42578125" style="531" customWidth="1"/>
    <col min="2820" max="2820" width="51.85546875" style="531" customWidth="1"/>
    <col min="2821" max="2821" width="18.7109375" style="531" customWidth="1"/>
    <col min="2822" max="3072" width="12.42578125" style="531"/>
    <col min="3073" max="3074" width="0" style="531" hidden="1" customWidth="1"/>
    <col min="3075" max="3075" width="8.42578125" style="531" customWidth="1"/>
    <col min="3076" max="3076" width="51.85546875" style="531" customWidth="1"/>
    <col min="3077" max="3077" width="18.7109375" style="531" customWidth="1"/>
    <col min="3078" max="3328" width="12.42578125" style="531"/>
    <col min="3329" max="3330" width="0" style="531" hidden="1" customWidth="1"/>
    <col min="3331" max="3331" width="8.42578125" style="531" customWidth="1"/>
    <col min="3332" max="3332" width="51.85546875" style="531" customWidth="1"/>
    <col min="3333" max="3333" width="18.7109375" style="531" customWidth="1"/>
    <col min="3334" max="3584" width="12.42578125" style="531"/>
    <col min="3585" max="3586" width="0" style="531" hidden="1" customWidth="1"/>
    <col min="3587" max="3587" width="8.42578125" style="531" customWidth="1"/>
    <col min="3588" max="3588" width="51.85546875" style="531" customWidth="1"/>
    <col min="3589" max="3589" width="18.7109375" style="531" customWidth="1"/>
    <col min="3590" max="3840" width="12.42578125" style="531"/>
    <col min="3841" max="3842" width="0" style="531" hidden="1" customWidth="1"/>
    <col min="3843" max="3843" width="8.42578125" style="531" customWidth="1"/>
    <col min="3844" max="3844" width="51.85546875" style="531" customWidth="1"/>
    <col min="3845" max="3845" width="18.7109375" style="531" customWidth="1"/>
    <col min="3846" max="4096" width="12.42578125" style="531"/>
    <col min="4097" max="4098" width="0" style="531" hidden="1" customWidth="1"/>
    <col min="4099" max="4099" width="8.42578125" style="531" customWidth="1"/>
    <col min="4100" max="4100" width="51.85546875" style="531" customWidth="1"/>
    <col min="4101" max="4101" width="18.7109375" style="531" customWidth="1"/>
    <col min="4102" max="4352" width="12.42578125" style="531"/>
    <col min="4353" max="4354" width="0" style="531" hidden="1" customWidth="1"/>
    <col min="4355" max="4355" width="8.42578125" style="531" customWidth="1"/>
    <col min="4356" max="4356" width="51.85546875" style="531" customWidth="1"/>
    <col min="4357" max="4357" width="18.7109375" style="531" customWidth="1"/>
    <col min="4358" max="4608" width="12.42578125" style="531"/>
    <col min="4609" max="4610" width="0" style="531" hidden="1" customWidth="1"/>
    <col min="4611" max="4611" width="8.42578125" style="531" customWidth="1"/>
    <col min="4612" max="4612" width="51.85546875" style="531" customWidth="1"/>
    <col min="4613" max="4613" width="18.7109375" style="531" customWidth="1"/>
    <col min="4614" max="4864" width="12.42578125" style="531"/>
    <col min="4865" max="4866" width="0" style="531" hidden="1" customWidth="1"/>
    <col min="4867" max="4867" width="8.42578125" style="531" customWidth="1"/>
    <col min="4868" max="4868" width="51.85546875" style="531" customWidth="1"/>
    <col min="4869" max="4869" width="18.7109375" style="531" customWidth="1"/>
    <col min="4870" max="5120" width="12.42578125" style="531"/>
    <col min="5121" max="5122" width="0" style="531" hidden="1" customWidth="1"/>
    <col min="5123" max="5123" width="8.42578125" style="531" customWidth="1"/>
    <col min="5124" max="5124" width="51.85546875" style="531" customWidth="1"/>
    <col min="5125" max="5125" width="18.7109375" style="531" customWidth="1"/>
    <col min="5126" max="5376" width="12.42578125" style="531"/>
    <col min="5377" max="5378" width="0" style="531" hidden="1" customWidth="1"/>
    <col min="5379" max="5379" width="8.42578125" style="531" customWidth="1"/>
    <col min="5380" max="5380" width="51.85546875" style="531" customWidth="1"/>
    <col min="5381" max="5381" width="18.7109375" style="531" customWidth="1"/>
    <col min="5382" max="5632" width="12.42578125" style="531"/>
    <col min="5633" max="5634" width="0" style="531" hidden="1" customWidth="1"/>
    <col min="5635" max="5635" width="8.42578125" style="531" customWidth="1"/>
    <col min="5636" max="5636" width="51.85546875" style="531" customWidth="1"/>
    <col min="5637" max="5637" width="18.7109375" style="531" customWidth="1"/>
    <col min="5638" max="5888" width="12.42578125" style="531"/>
    <col min="5889" max="5890" width="0" style="531" hidden="1" customWidth="1"/>
    <col min="5891" max="5891" width="8.42578125" style="531" customWidth="1"/>
    <col min="5892" max="5892" width="51.85546875" style="531" customWidth="1"/>
    <col min="5893" max="5893" width="18.7109375" style="531" customWidth="1"/>
    <col min="5894" max="6144" width="12.42578125" style="531"/>
    <col min="6145" max="6146" width="0" style="531" hidden="1" customWidth="1"/>
    <col min="6147" max="6147" width="8.42578125" style="531" customWidth="1"/>
    <col min="6148" max="6148" width="51.85546875" style="531" customWidth="1"/>
    <col min="6149" max="6149" width="18.7109375" style="531" customWidth="1"/>
    <col min="6150" max="6400" width="12.42578125" style="531"/>
    <col min="6401" max="6402" width="0" style="531" hidden="1" customWidth="1"/>
    <col min="6403" max="6403" width="8.42578125" style="531" customWidth="1"/>
    <col min="6404" max="6404" width="51.85546875" style="531" customWidth="1"/>
    <col min="6405" max="6405" width="18.7109375" style="531" customWidth="1"/>
    <col min="6406" max="6656" width="12.42578125" style="531"/>
    <col min="6657" max="6658" width="0" style="531" hidden="1" customWidth="1"/>
    <col min="6659" max="6659" width="8.42578125" style="531" customWidth="1"/>
    <col min="6660" max="6660" width="51.85546875" style="531" customWidth="1"/>
    <col min="6661" max="6661" width="18.7109375" style="531" customWidth="1"/>
    <col min="6662" max="6912" width="12.42578125" style="531"/>
    <col min="6913" max="6914" width="0" style="531" hidden="1" customWidth="1"/>
    <col min="6915" max="6915" width="8.42578125" style="531" customWidth="1"/>
    <col min="6916" max="6916" width="51.85546875" style="531" customWidth="1"/>
    <col min="6917" max="6917" width="18.7109375" style="531" customWidth="1"/>
    <col min="6918" max="7168" width="12.42578125" style="531"/>
    <col min="7169" max="7170" width="0" style="531" hidden="1" customWidth="1"/>
    <col min="7171" max="7171" width="8.42578125" style="531" customWidth="1"/>
    <col min="7172" max="7172" width="51.85546875" style="531" customWidth="1"/>
    <col min="7173" max="7173" width="18.7109375" style="531" customWidth="1"/>
    <col min="7174" max="7424" width="12.42578125" style="531"/>
    <col min="7425" max="7426" width="0" style="531" hidden="1" customWidth="1"/>
    <col min="7427" max="7427" width="8.42578125" style="531" customWidth="1"/>
    <col min="7428" max="7428" width="51.85546875" style="531" customWidth="1"/>
    <col min="7429" max="7429" width="18.7109375" style="531" customWidth="1"/>
    <col min="7430" max="7680" width="12.42578125" style="531"/>
    <col min="7681" max="7682" width="0" style="531" hidden="1" customWidth="1"/>
    <col min="7683" max="7683" width="8.42578125" style="531" customWidth="1"/>
    <col min="7684" max="7684" width="51.85546875" style="531" customWidth="1"/>
    <col min="7685" max="7685" width="18.7109375" style="531" customWidth="1"/>
    <col min="7686" max="7936" width="12.42578125" style="531"/>
    <col min="7937" max="7938" width="0" style="531" hidden="1" customWidth="1"/>
    <col min="7939" max="7939" width="8.42578125" style="531" customWidth="1"/>
    <col min="7940" max="7940" width="51.85546875" style="531" customWidth="1"/>
    <col min="7941" max="7941" width="18.7109375" style="531" customWidth="1"/>
    <col min="7942" max="8192" width="12.42578125" style="531"/>
    <col min="8193" max="8194" width="0" style="531" hidden="1" customWidth="1"/>
    <col min="8195" max="8195" width="8.42578125" style="531" customWidth="1"/>
    <col min="8196" max="8196" width="51.85546875" style="531" customWidth="1"/>
    <col min="8197" max="8197" width="18.7109375" style="531" customWidth="1"/>
    <col min="8198" max="8448" width="12.42578125" style="531"/>
    <col min="8449" max="8450" width="0" style="531" hidden="1" customWidth="1"/>
    <col min="8451" max="8451" width="8.42578125" style="531" customWidth="1"/>
    <col min="8452" max="8452" width="51.85546875" style="531" customWidth="1"/>
    <col min="8453" max="8453" width="18.7109375" style="531" customWidth="1"/>
    <col min="8454" max="8704" width="12.42578125" style="531"/>
    <col min="8705" max="8706" width="0" style="531" hidden="1" customWidth="1"/>
    <col min="8707" max="8707" width="8.42578125" style="531" customWidth="1"/>
    <col min="8708" max="8708" width="51.85546875" style="531" customWidth="1"/>
    <col min="8709" max="8709" width="18.7109375" style="531" customWidth="1"/>
    <col min="8710" max="8960" width="12.42578125" style="531"/>
    <col min="8961" max="8962" width="0" style="531" hidden="1" customWidth="1"/>
    <col min="8963" max="8963" width="8.42578125" style="531" customWidth="1"/>
    <col min="8964" max="8964" width="51.85546875" style="531" customWidth="1"/>
    <col min="8965" max="8965" width="18.7109375" style="531" customWidth="1"/>
    <col min="8966" max="9216" width="12.42578125" style="531"/>
    <col min="9217" max="9218" width="0" style="531" hidden="1" customWidth="1"/>
    <col min="9219" max="9219" width="8.42578125" style="531" customWidth="1"/>
    <col min="9220" max="9220" width="51.85546875" style="531" customWidth="1"/>
    <col min="9221" max="9221" width="18.7109375" style="531" customWidth="1"/>
    <col min="9222" max="9472" width="12.42578125" style="531"/>
    <col min="9473" max="9474" width="0" style="531" hidden="1" customWidth="1"/>
    <col min="9475" max="9475" width="8.42578125" style="531" customWidth="1"/>
    <col min="9476" max="9476" width="51.85546875" style="531" customWidth="1"/>
    <col min="9477" max="9477" width="18.7109375" style="531" customWidth="1"/>
    <col min="9478" max="9728" width="12.42578125" style="531"/>
    <col min="9729" max="9730" width="0" style="531" hidden="1" customWidth="1"/>
    <col min="9731" max="9731" width="8.42578125" style="531" customWidth="1"/>
    <col min="9732" max="9732" width="51.85546875" style="531" customWidth="1"/>
    <col min="9733" max="9733" width="18.7109375" style="531" customWidth="1"/>
    <col min="9734" max="9984" width="12.42578125" style="531"/>
    <col min="9985" max="9986" width="0" style="531" hidden="1" customWidth="1"/>
    <col min="9987" max="9987" width="8.42578125" style="531" customWidth="1"/>
    <col min="9988" max="9988" width="51.85546875" style="531" customWidth="1"/>
    <col min="9989" max="9989" width="18.7109375" style="531" customWidth="1"/>
    <col min="9990" max="10240" width="12.42578125" style="531"/>
    <col min="10241" max="10242" width="0" style="531" hidden="1" customWidth="1"/>
    <col min="10243" max="10243" width="8.42578125" style="531" customWidth="1"/>
    <col min="10244" max="10244" width="51.85546875" style="531" customWidth="1"/>
    <col min="10245" max="10245" width="18.7109375" style="531" customWidth="1"/>
    <col min="10246" max="10496" width="12.42578125" style="531"/>
    <col min="10497" max="10498" width="0" style="531" hidden="1" customWidth="1"/>
    <col min="10499" max="10499" width="8.42578125" style="531" customWidth="1"/>
    <col min="10500" max="10500" width="51.85546875" style="531" customWidth="1"/>
    <col min="10501" max="10501" width="18.7109375" style="531" customWidth="1"/>
    <col min="10502" max="10752" width="12.42578125" style="531"/>
    <col min="10753" max="10754" width="0" style="531" hidden="1" customWidth="1"/>
    <col min="10755" max="10755" width="8.42578125" style="531" customWidth="1"/>
    <col min="10756" max="10756" width="51.85546875" style="531" customWidth="1"/>
    <col min="10757" max="10757" width="18.7109375" style="531" customWidth="1"/>
    <col min="10758" max="11008" width="12.42578125" style="531"/>
    <col min="11009" max="11010" width="0" style="531" hidden="1" customWidth="1"/>
    <col min="11011" max="11011" width="8.42578125" style="531" customWidth="1"/>
    <col min="11012" max="11012" width="51.85546875" style="531" customWidth="1"/>
    <col min="11013" max="11013" width="18.7109375" style="531" customWidth="1"/>
    <col min="11014" max="11264" width="12.42578125" style="531"/>
    <col min="11265" max="11266" width="0" style="531" hidden="1" customWidth="1"/>
    <col min="11267" max="11267" width="8.42578125" style="531" customWidth="1"/>
    <col min="11268" max="11268" width="51.85546875" style="531" customWidth="1"/>
    <col min="11269" max="11269" width="18.7109375" style="531" customWidth="1"/>
    <col min="11270" max="11520" width="12.42578125" style="531"/>
    <col min="11521" max="11522" width="0" style="531" hidden="1" customWidth="1"/>
    <col min="11523" max="11523" width="8.42578125" style="531" customWidth="1"/>
    <col min="11524" max="11524" width="51.85546875" style="531" customWidth="1"/>
    <col min="11525" max="11525" width="18.7109375" style="531" customWidth="1"/>
    <col min="11526" max="11776" width="12.42578125" style="531"/>
    <col min="11777" max="11778" width="0" style="531" hidden="1" customWidth="1"/>
    <col min="11779" max="11779" width="8.42578125" style="531" customWidth="1"/>
    <col min="11780" max="11780" width="51.85546875" style="531" customWidth="1"/>
    <col min="11781" max="11781" width="18.7109375" style="531" customWidth="1"/>
    <col min="11782" max="12032" width="12.42578125" style="531"/>
    <col min="12033" max="12034" width="0" style="531" hidden="1" customWidth="1"/>
    <col min="12035" max="12035" width="8.42578125" style="531" customWidth="1"/>
    <col min="12036" max="12036" width="51.85546875" style="531" customWidth="1"/>
    <col min="12037" max="12037" width="18.7109375" style="531" customWidth="1"/>
    <col min="12038" max="12288" width="12.42578125" style="531"/>
    <col min="12289" max="12290" width="0" style="531" hidden="1" customWidth="1"/>
    <col min="12291" max="12291" width="8.42578125" style="531" customWidth="1"/>
    <col min="12292" max="12292" width="51.85546875" style="531" customWidth="1"/>
    <col min="12293" max="12293" width="18.7109375" style="531" customWidth="1"/>
    <col min="12294" max="12544" width="12.42578125" style="531"/>
    <col min="12545" max="12546" width="0" style="531" hidden="1" customWidth="1"/>
    <col min="12547" max="12547" width="8.42578125" style="531" customWidth="1"/>
    <col min="12548" max="12548" width="51.85546875" style="531" customWidth="1"/>
    <col min="12549" max="12549" width="18.7109375" style="531" customWidth="1"/>
    <col min="12550" max="12800" width="12.42578125" style="531"/>
    <col min="12801" max="12802" width="0" style="531" hidden="1" customWidth="1"/>
    <col min="12803" max="12803" width="8.42578125" style="531" customWidth="1"/>
    <col min="12804" max="12804" width="51.85546875" style="531" customWidth="1"/>
    <col min="12805" max="12805" width="18.7109375" style="531" customWidth="1"/>
    <col min="12806" max="13056" width="12.42578125" style="531"/>
    <col min="13057" max="13058" width="0" style="531" hidden="1" customWidth="1"/>
    <col min="13059" max="13059" width="8.42578125" style="531" customWidth="1"/>
    <col min="13060" max="13060" width="51.85546875" style="531" customWidth="1"/>
    <col min="13061" max="13061" width="18.7109375" style="531" customWidth="1"/>
    <col min="13062" max="13312" width="12.42578125" style="531"/>
    <col min="13313" max="13314" width="0" style="531" hidden="1" customWidth="1"/>
    <col min="13315" max="13315" width="8.42578125" style="531" customWidth="1"/>
    <col min="13316" max="13316" width="51.85546875" style="531" customWidth="1"/>
    <col min="13317" max="13317" width="18.7109375" style="531" customWidth="1"/>
    <col min="13318" max="13568" width="12.42578125" style="531"/>
    <col min="13569" max="13570" width="0" style="531" hidden="1" customWidth="1"/>
    <col min="13571" max="13571" width="8.42578125" style="531" customWidth="1"/>
    <col min="13572" max="13572" width="51.85546875" style="531" customWidth="1"/>
    <col min="13573" max="13573" width="18.7109375" style="531" customWidth="1"/>
    <col min="13574" max="13824" width="12.42578125" style="531"/>
    <col min="13825" max="13826" width="0" style="531" hidden="1" customWidth="1"/>
    <col min="13827" max="13827" width="8.42578125" style="531" customWidth="1"/>
    <col min="13828" max="13828" width="51.85546875" style="531" customWidth="1"/>
    <col min="13829" max="13829" width="18.7109375" style="531" customWidth="1"/>
    <col min="13830" max="14080" width="12.42578125" style="531"/>
    <col min="14081" max="14082" width="0" style="531" hidden="1" customWidth="1"/>
    <col min="14083" max="14083" width="8.42578125" style="531" customWidth="1"/>
    <col min="14084" max="14084" width="51.85546875" style="531" customWidth="1"/>
    <col min="14085" max="14085" width="18.7109375" style="531" customWidth="1"/>
    <col min="14086" max="14336" width="12.42578125" style="531"/>
    <col min="14337" max="14338" width="0" style="531" hidden="1" customWidth="1"/>
    <col min="14339" max="14339" width="8.42578125" style="531" customWidth="1"/>
    <col min="14340" max="14340" width="51.85546875" style="531" customWidth="1"/>
    <col min="14341" max="14341" width="18.7109375" style="531" customWidth="1"/>
    <col min="14342" max="14592" width="12.42578125" style="531"/>
    <col min="14593" max="14594" width="0" style="531" hidden="1" customWidth="1"/>
    <col min="14595" max="14595" width="8.42578125" style="531" customWidth="1"/>
    <col min="14596" max="14596" width="51.85546875" style="531" customWidth="1"/>
    <col min="14597" max="14597" width="18.7109375" style="531" customWidth="1"/>
    <col min="14598" max="14848" width="12.42578125" style="531"/>
    <col min="14849" max="14850" width="0" style="531" hidden="1" customWidth="1"/>
    <col min="14851" max="14851" width="8.42578125" style="531" customWidth="1"/>
    <col min="14852" max="14852" width="51.85546875" style="531" customWidth="1"/>
    <col min="14853" max="14853" width="18.7109375" style="531" customWidth="1"/>
    <col min="14854" max="15104" width="12.42578125" style="531"/>
    <col min="15105" max="15106" width="0" style="531" hidden="1" customWidth="1"/>
    <col min="15107" max="15107" width="8.42578125" style="531" customWidth="1"/>
    <col min="15108" max="15108" width="51.85546875" style="531" customWidth="1"/>
    <col min="15109" max="15109" width="18.7109375" style="531" customWidth="1"/>
    <col min="15110" max="15360" width="12.42578125" style="531"/>
    <col min="15361" max="15362" width="0" style="531" hidden="1" customWidth="1"/>
    <col min="15363" max="15363" width="8.42578125" style="531" customWidth="1"/>
    <col min="15364" max="15364" width="51.85546875" style="531" customWidth="1"/>
    <col min="15365" max="15365" width="18.7109375" style="531" customWidth="1"/>
    <col min="15366" max="15616" width="12.42578125" style="531"/>
    <col min="15617" max="15618" width="0" style="531" hidden="1" customWidth="1"/>
    <col min="15619" max="15619" width="8.42578125" style="531" customWidth="1"/>
    <col min="15620" max="15620" width="51.85546875" style="531" customWidth="1"/>
    <col min="15621" max="15621" width="18.7109375" style="531" customWidth="1"/>
    <col min="15622" max="15872" width="12.42578125" style="531"/>
    <col min="15873" max="15874" width="0" style="531" hidden="1" customWidth="1"/>
    <col min="15875" max="15875" width="8.42578125" style="531" customWidth="1"/>
    <col min="15876" max="15876" width="51.85546875" style="531" customWidth="1"/>
    <col min="15877" max="15877" width="18.7109375" style="531" customWidth="1"/>
    <col min="15878" max="16128" width="12.42578125" style="531"/>
    <col min="16129" max="16130" width="0" style="531" hidden="1" customWidth="1"/>
    <col min="16131" max="16131" width="8.42578125" style="531" customWidth="1"/>
    <col min="16132" max="16132" width="51.85546875" style="531" customWidth="1"/>
    <col min="16133" max="16133" width="18.7109375" style="531" customWidth="1"/>
    <col min="16134" max="16384" width="12.42578125" style="531"/>
  </cols>
  <sheetData>
    <row r="1" spans="1:10" ht="15.75" x14ac:dyDescent="0.25">
      <c r="A1" s="531">
        <v>2</v>
      </c>
      <c r="B1" s="641" t="s">
        <v>2434</v>
      </c>
      <c r="C1" s="642"/>
      <c r="D1" s="643" t="s">
        <v>2435</v>
      </c>
      <c r="E1" s="643" t="s">
        <v>2436</v>
      </c>
      <c r="G1" s="644">
        <f>C7+C19+C24+C39+C45+C56+C65+C71+C82+C85+C97+C101+C112+C122+C125+C134+C140+C146+C154+C170+C185+C194+C189+C201+C216+C229+C241+C251+C262+C289+C298+C304+C320+C322+C345+C348+C363+C378+C391+C400+C407+C424+C453+C474+C490+C498+C514+C528+C532+C551+C559+C566+C576+C587+C598+C621+C626+C672+C675+C687+C690+C701</f>
        <v>965</v>
      </c>
      <c r="I1" s="645"/>
      <c r="J1" s="645"/>
    </row>
    <row r="2" spans="1:10" ht="15.75" x14ac:dyDescent="0.25">
      <c r="A2" s="531">
        <v>20</v>
      </c>
      <c r="C2" s="647"/>
      <c r="D2" s="648" t="s">
        <v>2437</v>
      </c>
      <c r="E2" s="649"/>
      <c r="I2" s="645"/>
      <c r="J2" s="645"/>
    </row>
    <row r="3" spans="1:10" x14ac:dyDescent="0.2">
      <c r="A3" s="531">
        <v>22</v>
      </c>
      <c r="B3" s="646">
        <v>7</v>
      </c>
      <c r="C3" s="647">
        <v>1</v>
      </c>
      <c r="D3" s="649" t="s">
        <v>2438</v>
      </c>
      <c r="E3" s="649" t="s">
        <v>2439</v>
      </c>
      <c r="I3" s="645"/>
      <c r="J3" s="645"/>
    </row>
    <row r="4" spans="1:10" x14ac:dyDescent="0.2">
      <c r="A4" s="650">
        <v>24</v>
      </c>
      <c r="B4" s="646">
        <v>6</v>
      </c>
      <c r="C4" s="647">
        <v>1</v>
      </c>
      <c r="D4" s="649" t="s">
        <v>2440</v>
      </c>
      <c r="E4" s="649" t="s">
        <v>2441</v>
      </c>
      <c r="I4" s="645"/>
      <c r="J4" s="645"/>
    </row>
    <row r="5" spans="1:10" x14ac:dyDescent="0.2">
      <c r="A5" s="531">
        <v>26</v>
      </c>
      <c r="B5" s="646">
        <v>5</v>
      </c>
      <c r="C5" s="647">
        <v>5</v>
      </c>
      <c r="D5" s="649" t="s">
        <v>2442</v>
      </c>
      <c r="E5" s="649" t="s">
        <v>2443</v>
      </c>
      <c r="I5" s="645"/>
      <c r="J5" s="645"/>
    </row>
    <row r="6" spans="1:10" x14ac:dyDescent="0.2">
      <c r="A6" s="531">
        <v>28</v>
      </c>
      <c r="B6" s="646">
        <v>3</v>
      </c>
      <c r="C6" s="647">
        <v>20</v>
      </c>
      <c r="D6" s="649" t="s">
        <v>2444</v>
      </c>
      <c r="E6" s="649" t="s">
        <v>2445</v>
      </c>
      <c r="I6" s="645"/>
      <c r="J6" s="645"/>
    </row>
    <row r="7" spans="1:10" ht="16.5" thickBot="1" x14ac:dyDescent="0.3">
      <c r="A7" s="650">
        <v>30</v>
      </c>
      <c r="C7" s="651">
        <f>SUM(C3:C6)</f>
        <v>27</v>
      </c>
      <c r="D7" s="649"/>
      <c r="E7" s="649"/>
      <c r="I7" s="645"/>
      <c r="J7" s="645"/>
    </row>
    <row r="8" spans="1:10" ht="15.75" x14ac:dyDescent="0.25">
      <c r="A8" s="531">
        <v>32</v>
      </c>
      <c r="C8" s="652"/>
      <c r="D8" s="648" t="s">
        <v>2446</v>
      </c>
      <c r="E8" s="649"/>
      <c r="F8" s="589"/>
      <c r="G8" s="589"/>
      <c r="H8" s="589"/>
      <c r="I8" s="645"/>
      <c r="J8" s="645"/>
    </row>
    <row r="9" spans="1:10" x14ac:dyDescent="0.2">
      <c r="A9" s="531">
        <v>34</v>
      </c>
      <c r="B9" s="646">
        <v>10</v>
      </c>
      <c r="C9" s="653">
        <v>1</v>
      </c>
      <c r="D9" s="654" t="s">
        <v>2447</v>
      </c>
      <c r="E9" s="654" t="s">
        <v>1945</v>
      </c>
      <c r="I9" s="645"/>
      <c r="J9" s="645"/>
    </row>
    <row r="10" spans="1:10" x14ac:dyDescent="0.2">
      <c r="A10" s="650">
        <v>36</v>
      </c>
      <c r="B10" s="646">
        <v>7</v>
      </c>
      <c r="C10" s="655">
        <v>1</v>
      </c>
      <c r="D10" s="656" t="s">
        <v>2448</v>
      </c>
      <c r="E10" s="656" t="s">
        <v>1952</v>
      </c>
      <c r="I10" s="645"/>
      <c r="J10" s="645"/>
    </row>
    <row r="11" spans="1:10" x14ac:dyDescent="0.2">
      <c r="A11" s="531">
        <v>38</v>
      </c>
      <c r="B11" s="646">
        <v>7</v>
      </c>
      <c r="C11" s="655">
        <v>1</v>
      </c>
      <c r="D11" s="656" t="s">
        <v>2449</v>
      </c>
      <c r="E11" s="656" t="s">
        <v>2439</v>
      </c>
      <c r="I11" s="645"/>
      <c r="J11" s="645"/>
    </row>
    <row r="12" spans="1:10" x14ac:dyDescent="0.2">
      <c r="A12" s="531">
        <v>40</v>
      </c>
      <c r="B12" s="646">
        <v>6</v>
      </c>
      <c r="C12" s="655">
        <v>4</v>
      </c>
      <c r="D12" s="656" t="s">
        <v>2450</v>
      </c>
      <c r="E12" s="656" t="s">
        <v>2441</v>
      </c>
      <c r="I12" s="645"/>
      <c r="J12" s="645"/>
    </row>
    <row r="13" spans="1:10" x14ac:dyDescent="0.2">
      <c r="A13" s="650">
        <v>42</v>
      </c>
      <c r="B13" s="646">
        <v>5</v>
      </c>
      <c r="C13" s="655">
        <v>11</v>
      </c>
      <c r="D13" s="656" t="s">
        <v>2451</v>
      </c>
      <c r="E13" s="656" t="s">
        <v>2443</v>
      </c>
      <c r="I13" s="645"/>
      <c r="J13" s="645"/>
    </row>
    <row r="14" spans="1:10" x14ac:dyDescent="0.2">
      <c r="A14" s="531">
        <v>44</v>
      </c>
      <c r="B14" s="646">
        <v>3</v>
      </c>
      <c r="C14" s="655">
        <v>55</v>
      </c>
      <c r="D14" s="656" t="s">
        <v>2452</v>
      </c>
      <c r="E14" s="656" t="s">
        <v>2445</v>
      </c>
      <c r="I14" s="645"/>
      <c r="J14" s="645"/>
    </row>
    <row r="15" spans="1:10" x14ac:dyDescent="0.2">
      <c r="A15" s="531">
        <v>46</v>
      </c>
      <c r="B15" s="646">
        <v>6</v>
      </c>
      <c r="C15" s="655">
        <v>1</v>
      </c>
      <c r="D15" s="656" t="s">
        <v>2453</v>
      </c>
      <c r="E15" s="656" t="s">
        <v>1431</v>
      </c>
      <c r="I15" s="645"/>
      <c r="J15" s="645"/>
    </row>
    <row r="16" spans="1:10" x14ac:dyDescent="0.2">
      <c r="A16" s="650">
        <v>48</v>
      </c>
      <c r="B16" s="646">
        <v>5</v>
      </c>
      <c r="C16" s="655">
        <v>1</v>
      </c>
      <c r="D16" s="656" t="s">
        <v>2454</v>
      </c>
      <c r="E16" s="656" t="s">
        <v>2455</v>
      </c>
      <c r="I16" s="645"/>
      <c r="J16" s="645"/>
    </row>
    <row r="17" spans="1:10" x14ac:dyDescent="0.2">
      <c r="A17" s="531">
        <v>50</v>
      </c>
      <c r="B17" s="646">
        <v>4</v>
      </c>
      <c r="C17" s="655">
        <v>1</v>
      </c>
      <c r="D17" s="656" t="s">
        <v>2456</v>
      </c>
      <c r="E17" s="656" t="s">
        <v>1432</v>
      </c>
      <c r="I17" s="645"/>
      <c r="J17" s="645"/>
    </row>
    <row r="18" spans="1:10" x14ac:dyDescent="0.2">
      <c r="A18" s="531">
        <v>52</v>
      </c>
      <c r="B18" s="646">
        <v>3</v>
      </c>
      <c r="C18" s="655">
        <v>1</v>
      </c>
      <c r="D18" s="656" t="s">
        <v>2457</v>
      </c>
      <c r="E18" s="656" t="s">
        <v>2458</v>
      </c>
      <c r="I18" s="645"/>
      <c r="J18" s="645"/>
    </row>
    <row r="19" spans="1:10" ht="16.5" thickBot="1" x14ac:dyDescent="0.3">
      <c r="A19" s="650">
        <v>54</v>
      </c>
      <c r="C19" s="641">
        <f>SUM(C9:C18)</f>
        <v>77</v>
      </c>
      <c r="I19" s="645"/>
      <c r="J19" s="645"/>
    </row>
    <row r="20" spans="1:10" ht="15.75" x14ac:dyDescent="0.25">
      <c r="A20" s="531">
        <v>56</v>
      </c>
      <c r="C20" s="658"/>
      <c r="I20" s="645"/>
      <c r="J20" s="645"/>
    </row>
    <row r="21" spans="1:10" s="650" customFormat="1" ht="15.75" x14ac:dyDescent="0.25">
      <c r="A21" s="531">
        <v>58</v>
      </c>
      <c r="B21" s="647"/>
      <c r="C21" s="659"/>
      <c r="D21" s="660" t="s">
        <v>2459</v>
      </c>
      <c r="E21" s="649"/>
      <c r="I21" s="645"/>
      <c r="J21" s="645"/>
    </row>
    <row r="22" spans="1:10" s="650" customFormat="1" x14ac:dyDescent="0.2">
      <c r="A22" s="531">
        <v>60</v>
      </c>
      <c r="B22" s="647">
        <v>5</v>
      </c>
      <c r="C22" s="647">
        <v>1</v>
      </c>
      <c r="D22" s="649" t="s">
        <v>2451</v>
      </c>
      <c r="E22" s="649" t="s">
        <v>2443</v>
      </c>
      <c r="I22" s="645"/>
      <c r="J22" s="645"/>
    </row>
    <row r="23" spans="1:10" s="650" customFormat="1" x14ac:dyDescent="0.2">
      <c r="A23" s="650">
        <v>62</v>
      </c>
      <c r="B23" s="647">
        <v>3</v>
      </c>
      <c r="C23" s="647">
        <v>1</v>
      </c>
      <c r="D23" s="649" t="s">
        <v>2452</v>
      </c>
      <c r="E23" s="649" t="s">
        <v>2445</v>
      </c>
      <c r="I23" s="645"/>
      <c r="J23" s="645"/>
    </row>
    <row r="24" spans="1:10" s="650" customFormat="1" ht="16.5" thickBot="1" x14ac:dyDescent="0.3">
      <c r="A24" s="531">
        <v>64</v>
      </c>
      <c r="B24" s="647"/>
      <c r="C24" s="661">
        <f>SUM(C22:C23)</f>
        <v>2</v>
      </c>
      <c r="D24" s="649"/>
      <c r="E24" s="649"/>
      <c r="I24" s="645"/>
      <c r="J24" s="645"/>
    </row>
    <row r="25" spans="1:10" s="650" customFormat="1" ht="15.75" x14ac:dyDescent="0.25">
      <c r="A25" s="531">
        <v>66</v>
      </c>
      <c r="B25" s="647"/>
      <c r="C25" s="659"/>
      <c r="D25" s="649"/>
      <c r="E25" s="649"/>
      <c r="I25" s="645"/>
      <c r="J25" s="645"/>
    </row>
    <row r="26" spans="1:10" x14ac:dyDescent="0.2">
      <c r="A26" s="650">
        <v>80</v>
      </c>
      <c r="D26" s="646"/>
      <c r="I26" s="645"/>
      <c r="J26" s="645"/>
    </row>
    <row r="27" spans="1:10" ht="15.75" x14ac:dyDescent="0.25">
      <c r="A27" s="531">
        <v>82</v>
      </c>
      <c r="D27" s="662" t="s">
        <v>2460</v>
      </c>
      <c r="I27" s="645"/>
      <c r="J27" s="645"/>
    </row>
    <row r="28" spans="1:10" x14ac:dyDescent="0.2">
      <c r="A28" s="531">
        <v>84</v>
      </c>
      <c r="B28" s="646">
        <v>10</v>
      </c>
      <c r="C28" s="655">
        <v>1</v>
      </c>
      <c r="D28" s="656" t="s">
        <v>395</v>
      </c>
      <c r="E28" s="656" t="s">
        <v>1941</v>
      </c>
      <c r="I28" s="645"/>
      <c r="J28" s="645"/>
    </row>
    <row r="29" spans="1:10" x14ac:dyDescent="0.2">
      <c r="A29" s="650">
        <v>86</v>
      </c>
      <c r="B29" s="646">
        <v>8</v>
      </c>
      <c r="C29" s="655">
        <v>1</v>
      </c>
      <c r="D29" s="656" t="s">
        <v>2461</v>
      </c>
      <c r="E29" s="656" t="s">
        <v>1946</v>
      </c>
      <c r="I29" s="645"/>
      <c r="J29" s="645"/>
    </row>
    <row r="30" spans="1:10" x14ac:dyDescent="0.2">
      <c r="A30" s="531">
        <v>88</v>
      </c>
      <c r="B30" s="646">
        <v>8</v>
      </c>
      <c r="C30" s="655">
        <v>1</v>
      </c>
      <c r="D30" s="656" t="s">
        <v>2462</v>
      </c>
      <c r="E30" s="656" t="s">
        <v>1946</v>
      </c>
      <c r="I30" s="645"/>
      <c r="J30" s="645"/>
    </row>
    <row r="31" spans="1:10" x14ac:dyDescent="0.2">
      <c r="A31" s="531">
        <v>90</v>
      </c>
      <c r="B31" s="646">
        <v>7</v>
      </c>
      <c r="C31" s="655">
        <v>3</v>
      </c>
      <c r="D31" s="656" t="s">
        <v>2463</v>
      </c>
      <c r="E31" s="656" t="s">
        <v>2464</v>
      </c>
      <c r="I31" s="645"/>
      <c r="J31" s="645"/>
    </row>
    <row r="32" spans="1:10" x14ac:dyDescent="0.2">
      <c r="A32" s="650">
        <v>92</v>
      </c>
      <c r="B32" s="646">
        <v>7</v>
      </c>
      <c r="C32" s="655">
        <v>2</v>
      </c>
      <c r="D32" s="656" t="s">
        <v>2465</v>
      </c>
      <c r="E32" s="656" t="s">
        <v>2439</v>
      </c>
      <c r="I32" s="645"/>
      <c r="J32" s="645"/>
    </row>
    <row r="33" spans="1:10" x14ac:dyDescent="0.2">
      <c r="A33" s="531">
        <v>94</v>
      </c>
      <c r="B33" s="646">
        <v>7</v>
      </c>
      <c r="C33" s="655">
        <v>1</v>
      </c>
      <c r="D33" s="656" t="s">
        <v>2466</v>
      </c>
      <c r="E33" s="656" t="s">
        <v>2439</v>
      </c>
      <c r="I33" s="645"/>
      <c r="J33" s="645"/>
    </row>
    <row r="34" spans="1:10" x14ac:dyDescent="0.2">
      <c r="A34" s="650">
        <v>98</v>
      </c>
      <c r="B34" s="646">
        <v>5</v>
      </c>
      <c r="C34" s="655">
        <v>1</v>
      </c>
      <c r="D34" s="656" t="s">
        <v>2467</v>
      </c>
      <c r="E34" s="663" t="s">
        <v>2468</v>
      </c>
      <c r="I34" s="645"/>
      <c r="J34" s="645"/>
    </row>
    <row r="35" spans="1:10" x14ac:dyDescent="0.2">
      <c r="A35" s="650"/>
      <c r="B35" s="646">
        <v>5</v>
      </c>
      <c r="C35" s="655">
        <v>1</v>
      </c>
      <c r="D35" s="656" t="s">
        <v>2469</v>
      </c>
      <c r="E35" s="663" t="s">
        <v>2455</v>
      </c>
      <c r="I35" s="645"/>
      <c r="J35" s="645"/>
    </row>
    <row r="36" spans="1:10" x14ac:dyDescent="0.2">
      <c r="A36" s="650"/>
      <c r="B36" s="646">
        <v>4</v>
      </c>
      <c r="C36" s="655">
        <v>1</v>
      </c>
      <c r="D36" s="656" t="s">
        <v>2456</v>
      </c>
      <c r="E36" s="656" t="s">
        <v>1432</v>
      </c>
      <c r="I36" s="645"/>
      <c r="J36" s="645"/>
    </row>
    <row r="37" spans="1:10" x14ac:dyDescent="0.2">
      <c r="A37" s="650"/>
      <c r="B37" s="646">
        <v>3</v>
      </c>
      <c r="C37" s="655">
        <v>1</v>
      </c>
      <c r="D37" s="656" t="s">
        <v>2457</v>
      </c>
      <c r="E37" s="656" t="s">
        <v>2458</v>
      </c>
      <c r="I37" s="645"/>
      <c r="J37" s="645"/>
    </row>
    <row r="38" spans="1:10" x14ac:dyDescent="0.2">
      <c r="A38" s="650"/>
      <c r="B38" s="646">
        <v>1</v>
      </c>
      <c r="C38" s="655">
        <v>1</v>
      </c>
      <c r="D38" s="656" t="s">
        <v>2470</v>
      </c>
      <c r="E38" s="656" t="s">
        <v>2471</v>
      </c>
      <c r="I38" s="645"/>
      <c r="J38" s="645"/>
    </row>
    <row r="39" spans="1:10" ht="16.5" thickBot="1" x14ac:dyDescent="0.3">
      <c r="A39" s="531">
        <v>102</v>
      </c>
      <c r="B39" s="531"/>
      <c r="C39" s="641">
        <f>SUM(C28:C38)</f>
        <v>14</v>
      </c>
      <c r="I39" s="645"/>
      <c r="J39" s="645"/>
    </row>
    <row r="40" spans="1:10" ht="15.75" x14ac:dyDescent="0.25">
      <c r="A40" s="531">
        <v>104</v>
      </c>
      <c r="B40" s="531"/>
      <c r="C40" s="658"/>
      <c r="I40" s="645"/>
      <c r="J40" s="645"/>
    </row>
    <row r="41" spans="1:10" ht="15.75" x14ac:dyDescent="0.25">
      <c r="A41" s="650">
        <v>106</v>
      </c>
      <c r="D41" s="662" t="s">
        <v>2472</v>
      </c>
      <c r="I41" s="645"/>
      <c r="J41" s="645"/>
    </row>
    <row r="42" spans="1:10" x14ac:dyDescent="0.2">
      <c r="A42" s="531">
        <v>108</v>
      </c>
      <c r="B42" s="646">
        <v>8</v>
      </c>
      <c r="C42" s="646">
        <v>1</v>
      </c>
      <c r="D42" s="656" t="s">
        <v>2473</v>
      </c>
      <c r="E42" s="656" t="s">
        <v>1946</v>
      </c>
      <c r="I42" s="645"/>
      <c r="J42" s="645"/>
    </row>
    <row r="43" spans="1:10" x14ac:dyDescent="0.2">
      <c r="A43" s="531">
        <v>110</v>
      </c>
      <c r="B43" s="646">
        <v>4</v>
      </c>
      <c r="C43" s="646">
        <v>1</v>
      </c>
      <c r="D43" s="656" t="s">
        <v>2456</v>
      </c>
      <c r="E43" s="656" t="s">
        <v>1432</v>
      </c>
      <c r="I43" s="645"/>
      <c r="J43" s="645"/>
    </row>
    <row r="44" spans="1:10" x14ac:dyDescent="0.2">
      <c r="A44" s="650">
        <v>112</v>
      </c>
      <c r="B44" s="646">
        <v>3</v>
      </c>
      <c r="C44" s="646">
        <v>2</v>
      </c>
      <c r="D44" s="656" t="s">
        <v>2457</v>
      </c>
      <c r="E44" s="656" t="s">
        <v>2458</v>
      </c>
      <c r="I44" s="645"/>
      <c r="J44" s="645"/>
    </row>
    <row r="45" spans="1:10" ht="16.5" thickBot="1" x14ac:dyDescent="0.3">
      <c r="A45" s="531">
        <v>114</v>
      </c>
      <c r="C45" s="641">
        <f>SUM(C42:C44)</f>
        <v>4</v>
      </c>
      <c r="I45" s="645"/>
      <c r="J45" s="645"/>
    </row>
    <row r="46" spans="1:10" x14ac:dyDescent="0.2">
      <c r="A46" s="531">
        <v>116</v>
      </c>
      <c r="B46" s="531"/>
      <c r="C46" s="664"/>
      <c r="I46" s="645"/>
      <c r="J46" s="645"/>
    </row>
    <row r="47" spans="1:10" ht="15.75" x14ac:dyDescent="0.25">
      <c r="A47" s="650">
        <v>118</v>
      </c>
      <c r="B47" s="531"/>
      <c r="D47" s="662" t="s">
        <v>2474</v>
      </c>
      <c r="I47" s="645"/>
      <c r="J47" s="645"/>
    </row>
    <row r="48" spans="1:10" x14ac:dyDescent="0.2">
      <c r="A48" s="531">
        <v>120</v>
      </c>
      <c r="B48" s="646">
        <v>7</v>
      </c>
      <c r="C48" s="655">
        <v>1</v>
      </c>
      <c r="D48" s="656" t="s">
        <v>451</v>
      </c>
      <c r="E48" s="656" t="s">
        <v>2475</v>
      </c>
      <c r="I48" s="645"/>
      <c r="J48" s="645"/>
    </row>
    <row r="49" spans="1:10" x14ac:dyDescent="0.2">
      <c r="B49" s="646">
        <v>7</v>
      </c>
      <c r="C49" s="655">
        <v>1</v>
      </c>
      <c r="D49" s="656" t="s">
        <v>2476</v>
      </c>
      <c r="E49" s="656" t="s">
        <v>1953</v>
      </c>
      <c r="I49" s="645"/>
      <c r="J49" s="645"/>
    </row>
    <row r="50" spans="1:10" x14ac:dyDescent="0.2">
      <c r="A50" s="531">
        <v>122</v>
      </c>
      <c r="B50" s="646">
        <v>5</v>
      </c>
      <c r="C50" s="655">
        <v>1</v>
      </c>
      <c r="D50" s="656" t="s">
        <v>2477</v>
      </c>
      <c r="E50" s="656" t="s">
        <v>2455</v>
      </c>
      <c r="I50" s="645"/>
      <c r="J50" s="645"/>
    </row>
    <row r="51" spans="1:10" x14ac:dyDescent="0.2">
      <c r="A51" s="650">
        <v>124</v>
      </c>
      <c r="B51" s="646">
        <v>5</v>
      </c>
      <c r="C51" s="655">
        <v>1</v>
      </c>
      <c r="D51" s="656" t="s">
        <v>2478</v>
      </c>
      <c r="E51" s="656" t="s">
        <v>2455</v>
      </c>
      <c r="I51" s="645"/>
      <c r="J51" s="645"/>
    </row>
    <row r="52" spans="1:10" x14ac:dyDescent="0.2">
      <c r="A52" s="531">
        <v>126</v>
      </c>
      <c r="B52" s="646">
        <v>5</v>
      </c>
      <c r="C52" s="655">
        <v>1</v>
      </c>
      <c r="D52" s="656" t="s">
        <v>2454</v>
      </c>
      <c r="E52" s="656" t="s">
        <v>2455</v>
      </c>
      <c r="I52" s="645"/>
      <c r="J52" s="645"/>
    </row>
    <row r="53" spans="1:10" x14ac:dyDescent="0.2">
      <c r="B53" s="646">
        <v>4</v>
      </c>
      <c r="C53" s="655">
        <v>1</v>
      </c>
      <c r="D53" s="656" t="s">
        <v>2456</v>
      </c>
      <c r="E53" s="656" t="s">
        <v>1432</v>
      </c>
      <c r="I53" s="645"/>
      <c r="J53" s="645"/>
    </row>
    <row r="54" spans="1:10" x14ac:dyDescent="0.2">
      <c r="A54" s="531">
        <v>128</v>
      </c>
      <c r="B54" s="646">
        <v>3</v>
      </c>
      <c r="C54" s="655">
        <v>2</v>
      </c>
      <c r="D54" s="656" t="s">
        <v>2479</v>
      </c>
      <c r="E54" s="656" t="s">
        <v>2458</v>
      </c>
      <c r="I54" s="645"/>
      <c r="J54" s="645"/>
    </row>
    <row r="55" spans="1:10" ht="15.75" x14ac:dyDescent="0.25">
      <c r="B55" s="531"/>
      <c r="C55" s="665">
        <v>1</v>
      </c>
      <c r="D55" s="656" t="s">
        <v>2470</v>
      </c>
      <c r="E55" s="656" t="s">
        <v>2471</v>
      </c>
      <c r="I55" s="645"/>
      <c r="J55" s="645"/>
    </row>
    <row r="56" spans="1:10" ht="15.75" x14ac:dyDescent="0.25">
      <c r="A56" s="650">
        <v>130</v>
      </c>
      <c r="B56" s="531"/>
      <c r="C56" s="641">
        <f>SUM(C48:C55)</f>
        <v>9</v>
      </c>
      <c r="I56" s="645"/>
      <c r="J56" s="645"/>
    </row>
    <row r="57" spans="1:10" x14ac:dyDescent="0.2">
      <c r="B57" s="531"/>
      <c r="C57" s="666"/>
      <c r="I57" s="645"/>
      <c r="J57" s="645"/>
    </row>
    <row r="58" spans="1:10" ht="15.75" x14ac:dyDescent="0.25">
      <c r="A58" s="531">
        <v>134</v>
      </c>
      <c r="D58" s="662" t="s">
        <v>2480</v>
      </c>
      <c r="I58" s="645"/>
      <c r="J58" s="645"/>
    </row>
    <row r="59" spans="1:10" x14ac:dyDescent="0.2">
      <c r="A59" s="650">
        <v>136</v>
      </c>
      <c r="B59" s="646">
        <v>9</v>
      </c>
      <c r="C59" s="646">
        <v>1</v>
      </c>
      <c r="D59" s="667" t="s">
        <v>2481</v>
      </c>
      <c r="E59" s="656" t="s">
        <v>1430</v>
      </c>
      <c r="I59" s="645"/>
      <c r="J59" s="645"/>
    </row>
    <row r="60" spans="1:10" x14ac:dyDescent="0.2">
      <c r="A60" s="531">
        <v>138</v>
      </c>
      <c r="B60" s="646">
        <v>5</v>
      </c>
      <c r="C60" s="646">
        <v>1</v>
      </c>
      <c r="D60" s="657" t="s">
        <v>2454</v>
      </c>
      <c r="E60" s="656" t="s">
        <v>2455</v>
      </c>
      <c r="F60" s="589"/>
      <c r="G60" s="589"/>
      <c r="H60" s="589"/>
      <c r="I60" s="645"/>
      <c r="J60" s="645"/>
    </row>
    <row r="61" spans="1:10" x14ac:dyDescent="0.2">
      <c r="A61" s="531">
        <v>140</v>
      </c>
      <c r="B61" s="646">
        <v>4</v>
      </c>
      <c r="C61" s="646">
        <v>1</v>
      </c>
      <c r="D61" s="657" t="s">
        <v>2456</v>
      </c>
      <c r="E61" s="656" t="s">
        <v>1432</v>
      </c>
      <c r="I61" s="645"/>
      <c r="J61" s="645"/>
    </row>
    <row r="62" spans="1:10" x14ac:dyDescent="0.2">
      <c r="A62" s="650">
        <v>142</v>
      </c>
      <c r="B62" s="646">
        <v>3</v>
      </c>
      <c r="C62" s="646">
        <v>1</v>
      </c>
      <c r="D62" s="657" t="s">
        <v>2482</v>
      </c>
      <c r="E62" s="656" t="s">
        <v>2458</v>
      </c>
      <c r="I62" s="645"/>
      <c r="J62" s="645"/>
    </row>
    <row r="63" spans="1:10" x14ac:dyDescent="0.2">
      <c r="B63" s="646">
        <v>9</v>
      </c>
      <c r="C63" s="666">
        <v>1</v>
      </c>
      <c r="D63" s="667" t="s">
        <v>2483</v>
      </c>
      <c r="E63" s="667" t="s">
        <v>1953</v>
      </c>
      <c r="I63" s="645"/>
      <c r="J63" s="645"/>
    </row>
    <row r="64" spans="1:10" x14ac:dyDescent="0.2">
      <c r="B64" s="646">
        <v>7</v>
      </c>
      <c r="C64" s="666">
        <v>5</v>
      </c>
      <c r="D64" s="667" t="s">
        <v>2484</v>
      </c>
      <c r="E64" s="667" t="s">
        <v>1956</v>
      </c>
      <c r="I64" s="645"/>
      <c r="J64" s="645"/>
    </row>
    <row r="65" spans="1:10" ht="16.5" thickBot="1" x14ac:dyDescent="0.3">
      <c r="A65" s="531">
        <v>144</v>
      </c>
      <c r="B65" s="531"/>
      <c r="C65" s="641">
        <f>SUM(C59:C64)</f>
        <v>10</v>
      </c>
      <c r="I65" s="645"/>
      <c r="J65" s="645"/>
    </row>
    <row r="66" spans="1:10" x14ac:dyDescent="0.2">
      <c r="B66" s="531"/>
      <c r="C66" s="664"/>
      <c r="I66" s="645"/>
      <c r="J66" s="645"/>
    </row>
    <row r="67" spans="1:10" x14ac:dyDescent="0.2">
      <c r="A67" s="650">
        <v>148</v>
      </c>
      <c r="C67" s="666"/>
      <c r="I67" s="645"/>
      <c r="J67" s="645"/>
    </row>
    <row r="68" spans="1:10" ht="15.75" x14ac:dyDescent="0.25">
      <c r="A68" s="531">
        <v>150</v>
      </c>
      <c r="D68" s="662" t="s">
        <v>2485</v>
      </c>
      <c r="G68" s="645"/>
      <c r="I68" s="645"/>
      <c r="J68" s="645"/>
    </row>
    <row r="69" spans="1:10" x14ac:dyDescent="0.2">
      <c r="B69" s="646">
        <v>7</v>
      </c>
      <c r="C69" s="646">
        <v>1</v>
      </c>
      <c r="D69" s="656" t="s">
        <v>2486</v>
      </c>
      <c r="E69" s="656" t="s">
        <v>2439</v>
      </c>
      <c r="G69" s="645"/>
      <c r="I69" s="645"/>
      <c r="J69" s="645"/>
    </row>
    <row r="70" spans="1:10" x14ac:dyDescent="0.2">
      <c r="B70" s="646">
        <v>6</v>
      </c>
      <c r="C70" s="646">
        <v>2</v>
      </c>
      <c r="D70" s="656" t="s">
        <v>2487</v>
      </c>
      <c r="E70" s="656" t="s">
        <v>1431</v>
      </c>
      <c r="G70" s="645"/>
      <c r="I70" s="645"/>
      <c r="J70" s="645"/>
    </row>
    <row r="71" spans="1:10" ht="15.75" x14ac:dyDescent="0.25">
      <c r="C71" s="641">
        <f>SUM(C69:C70)</f>
        <v>3</v>
      </c>
      <c r="G71" s="645"/>
      <c r="I71" s="645"/>
      <c r="J71" s="645"/>
    </row>
    <row r="72" spans="1:10" x14ac:dyDescent="0.2">
      <c r="C72" s="668"/>
      <c r="D72" s="649"/>
      <c r="I72" s="645"/>
      <c r="J72" s="645"/>
    </row>
    <row r="73" spans="1:10" ht="15.75" x14ac:dyDescent="0.25">
      <c r="D73" s="662" t="s">
        <v>2488</v>
      </c>
      <c r="I73" s="645"/>
      <c r="J73" s="645"/>
    </row>
    <row r="74" spans="1:10" x14ac:dyDescent="0.2">
      <c r="B74" s="646">
        <v>10</v>
      </c>
      <c r="C74" s="655">
        <v>1</v>
      </c>
      <c r="D74" s="656" t="s">
        <v>591</v>
      </c>
      <c r="E74" s="656" t="s">
        <v>1943</v>
      </c>
      <c r="I74" s="645"/>
      <c r="J74" s="645"/>
    </row>
    <row r="75" spans="1:10" x14ac:dyDescent="0.2">
      <c r="A75" s="531">
        <v>152</v>
      </c>
      <c r="B75" s="646">
        <v>7</v>
      </c>
      <c r="C75" s="655">
        <v>1</v>
      </c>
      <c r="D75" s="656" t="s">
        <v>2489</v>
      </c>
      <c r="E75" s="656" t="s">
        <v>2490</v>
      </c>
      <c r="I75" s="645"/>
      <c r="J75" s="645"/>
    </row>
    <row r="76" spans="1:10" x14ac:dyDescent="0.2">
      <c r="A76" s="650">
        <v>154</v>
      </c>
      <c r="B76" s="646">
        <v>7</v>
      </c>
      <c r="C76" s="655">
        <v>3</v>
      </c>
      <c r="D76" s="656" t="s">
        <v>2491</v>
      </c>
      <c r="E76" s="656" t="s">
        <v>2439</v>
      </c>
      <c r="I76" s="645"/>
      <c r="J76" s="645"/>
    </row>
    <row r="77" spans="1:10" x14ac:dyDescent="0.2">
      <c r="A77" s="531">
        <v>156</v>
      </c>
      <c r="B77" s="646">
        <v>6</v>
      </c>
      <c r="C77" s="655">
        <v>5</v>
      </c>
      <c r="D77" s="656" t="s">
        <v>2492</v>
      </c>
      <c r="E77" s="656" t="s">
        <v>2439</v>
      </c>
      <c r="I77" s="645"/>
      <c r="J77" s="645"/>
    </row>
    <row r="78" spans="1:10" x14ac:dyDescent="0.2">
      <c r="A78" s="531">
        <v>158</v>
      </c>
      <c r="B78" s="646">
        <v>5</v>
      </c>
      <c r="C78" s="655">
        <v>2</v>
      </c>
      <c r="D78" s="656" t="s">
        <v>2493</v>
      </c>
      <c r="E78" s="656" t="s">
        <v>1431</v>
      </c>
      <c r="I78" s="645"/>
      <c r="J78" s="645"/>
    </row>
    <row r="79" spans="1:10" x14ac:dyDescent="0.2">
      <c r="A79" s="531">
        <v>160</v>
      </c>
      <c r="B79" s="646">
        <v>4</v>
      </c>
      <c r="C79" s="655">
        <v>2</v>
      </c>
      <c r="D79" s="656" t="s">
        <v>2494</v>
      </c>
      <c r="E79" s="656" t="s">
        <v>2495</v>
      </c>
      <c r="I79" s="645"/>
      <c r="J79" s="645"/>
    </row>
    <row r="80" spans="1:10" x14ac:dyDescent="0.2">
      <c r="A80" s="650">
        <v>162</v>
      </c>
      <c r="B80" s="646">
        <v>3</v>
      </c>
      <c r="C80" s="655">
        <v>1</v>
      </c>
      <c r="D80" s="656" t="s">
        <v>2479</v>
      </c>
      <c r="E80" s="656" t="s">
        <v>2458</v>
      </c>
      <c r="I80" s="645"/>
      <c r="J80" s="645"/>
    </row>
    <row r="81" spans="1:10" x14ac:dyDescent="0.2">
      <c r="A81" s="531">
        <v>164</v>
      </c>
      <c r="B81" s="646">
        <v>1</v>
      </c>
      <c r="C81" s="655">
        <v>1</v>
      </c>
      <c r="D81" s="656" t="s">
        <v>2470</v>
      </c>
      <c r="E81" s="656" t="s">
        <v>2471</v>
      </c>
      <c r="I81" s="645"/>
      <c r="J81" s="645"/>
    </row>
    <row r="82" spans="1:10" ht="16.5" thickBot="1" x14ac:dyDescent="0.3">
      <c r="A82" s="531">
        <v>166</v>
      </c>
      <c r="B82" s="531"/>
      <c r="C82" s="641">
        <f>SUM(C74:C81)</f>
        <v>16</v>
      </c>
      <c r="I82" s="645"/>
      <c r="J82" s="645"/>
    </row>
    <row r="83" spans="1:10" x14ac:dyDescent="0.2">
      <c r="A83" s="650">
        <v>168</v>
      </c>
      <c r="B83" s="531"/>
      <c r="C83" s="664"/>
      <c r="I83" s="645"/>
      <c r="J83" s="645"/>
    </row>
    <row r="84" spans="1:10" ht="15.75" x14ac:dyDescent="0.25">
      <c r="A84" s="650"/>
      <c r="B84" s="531"/>
      <c r="C84" s="665"/>
      <c r="D84" s="662" t="s">
        <v>9</v>
      </c>
      <c r="I84" s="645"/>
      <c r="J84" s="645"/>
    </row>
    <row r="85" spans="1:10" ht="15.75" x14ac:dyDescent="0.25">
      <c r="A85" s="650"/>
      <c r="B85" s="531"/>
      <c r="C85" s="665">
        <v>1</v>
      </c>
      <c r="D85" s="657" t="s">
        <v>2496</v>
      </c>
      <c r="I85" s="645"/>
      <c r="J85" s="645"/>
    </row>
    <row r="86" spans="1:10" ht="15.75" x14ac:dyDescent="0.25">
      <c r="A86" s="650"/>
      <c r="B86" s="531"/>
      <c r="C86" s="659"/>
      <c r="I86" s="645"/>
      <c r="J86" s="645"/>
    </row>
    <row r="87" spans="1:10" ht="15.75" x14ac:dyDescent="0.25">
      <c r="A87" s="650"/>
      <c r="B87" s="531"/>
      <c r="C87" s="666"/>
      <c r="D87" s="669" t="s">
        <v>2497</v>
      </c>
      <c r="E87" s="670"/>
      <c r="F87" s="671"/>
      <c r="G87" s="645"/>
      <c r="H87" s="645"/>
      <c r="I87" s="645"/>
      <c r="J87" s="645"/>
    </row>
    <row r="88" spans="1:10" ht="15.75" x14ac:dyDescent="0.25">
      <c r="A88" s="531">
        <v>170</v>
      </c>
      <c r="C88" s="666"/>
      <c r="D88" s="669"/>
      <c r="E88" s="670"/>
      <c r="F88" s="671"/>
      <c r="G88" s="645"/>
      <c r="H88" s="645"/>
      <c r="I88" s="645"/>
      <c r="J88" s="645"/>
    </row>
    <row r="89" spans="1:10" ht="15.75" x14ac:dyDescent="0.25">
      <c r="A89" s="531">
        <v>172</v>
      </c>
      <c r="C89" s="666"/>
      <c r="D89" s="672" t="s">
        <v>2498</v>
      </c>
      <c r="G89" s="645"/>
      <c r="H89" s="645"/>
      <c r="I89" s="645"/>
      <c r="J89" s="645"/>
    </row>
    <row r="90" spans="1:10" x14ac:dyDescent="0.2">
      <c r="A90" s="650">
        <v>174</v>
      </c>
      <c r="B90" s="647">
        <v>10</v>
      </c>
      <c r="C90" s="673">
        <v>1</v>
      </c>
      <c r="D90" s="674" t="s">
        <v>2499</v>
      </c>
      <c r="E90" s="674" t="s">
        <v>1941</v>
      </c>
      <c r="F90" s="650"/>
      <c r="G90" s="645"/>
      <c r="H90" s="645"/>
      <c r="I90" s="645"/>
      <c r="J90" s="645"/>
    </row>
    <row r="91" spans="1:10" x14ac:dyDescent="0.2">
      <c r="A91" s="650">
        <v>176</v>
      </c>
      <c r="B91" s="647">
        <v>7</v>
      </c>
      <c r="C91" s="673">
        <v>1</v>
      </c>
      <c r="D91" s="674" t="s">
        <v>2500</v>
      </c>
      <c r="E91" s="674" t="s">
        <v>2475</v>
      </c>
      <c r="F91" s="650"/>
      <c r="G91" s="645"/>
      <c r="H91" s="645"/>
      <c r="I91" s="645"/>
      <c r="J91" s="645"/>
    </row>
    <row r="92" spans="1:10" x14ac:dyDescent="0.2">
      <c r="A92" s="650">
        <v>178</v>
      </c>
      <c r="B92" s="647">
        <v>6</v>
      </c>
      <c r="C92" s="673">
        <v>2</v>
      </c>
      <c r="D92" s="674" t="s">
        <v>2453</v>
      </c>
      <c r="E92" s="674" t="s">
        <v>1431</v>
      </c>
      <c r="F92" s="650"/>
      <c r="G92" s="645"/>
      <c r="H92" s="645"/>
      <c r="I92" s="645"/>
      <c r="J92" s="645"/>
    </row>
    <row r="93" spans="1:10" x14ac:dyDescent="0.2">
      <c r="A93" s="650">
        <v>180</v>
      </c>
      <c r="B93" s="647">
        <v>5</v>
      </c>
      <c r="C93" s="673">
        <v>3</v>
      </c>
      <c r="D93" s="674" t="s">
        <v>2454</v>
      </c>
      <c r="E93" s="674" t="s">
        <v>2455</v>
      </c>
      <c r="F93" s="650"/>
      <c r="G93" s="645"/>
      <c r="H93" s="645"/>
      <c r="I93" s="645"/>
      <c r="J93" s="645"/>
    </row>
    <row r="94" spans="1:10" x14ac:dyDescent="0.2">
      <c r="A94" s="650">
        <v>182</v>
      </c>
      <c r="B94" s="647">
        <v>3</v>
      </c>
      <c r="C94" s="673">
        <v>1</v>
      </c>
      <c r="D94" s="674" t="s">
        <v>2501</v>
      </c>
      <c r="E94" s="674" t="s">
        <v>2502</v>
      </c>
      <c r="F94" s="650"/>
      <c r="G94" s="645"/>
      <c r="H94" s="645"/>
      <c r="I94" s="645"/>
      <c r="J94" s="645"/>
    </row>
    <row r="95" spans="1:10" x14ac:dyDescent="0.2">
      <c r="A95" s="650">
        <v>184</v>
      </c>
      <c r="B95" s="647">
        <v>4</v>
      </c>
      <c r="C95" s="673">
        <v>1</v>
      </c>
      <c r="D95" s="674" t="s">
        <v>2456</v>
      </c>
      <c r="E95" s="674" t="s">
        <v>1432</v>
      </c>
      <c r="F95" s="650"/>
      <c r="G95" s="645"/>
      <c r="H95" s="645"/>
      <c r="I95" s="645"/>
      <c r="J95" s="645"/>
    </row>
    <row r="96" spans="1:10" x14ac:dyDescent="0.2">
      <c r="A96" s="650">
        <v>186</v>
      </c>
      <c r="B96" s="647">
        <v>3</v>
      </c>
      <c r="C96" s="673">
        <v>1</v>
      </c>
      <c r="D96" s="674" t="s">
        <v>2503</v>
      </c>
      <c r="E96" s="674" t="s">
        <v>2458</v>
      </c>
      <c r="F96" s="650"/>
      <c r="G96" s="645"/>
      <c r="H96" s="645"/>
      <c r="I96" s="645"/>
      <c r="J96" s="645"/>
    </row>
    <row r="97" spans="1:10" ht="15.75" x14ac:dyDescent="0.25">
      <c r="A97" s="531">
        <v>188</v>
      </c>
      <c r="C97" s="651">
        <f>SUM(C90:C96)</f>
        <v>10</v>
      </c>
      <c r="D97" s="649"/>
      <c r="E97" s="649"/>
      <c r="F97" s="650"/>
      <c r="G97" s="645"/>
      <c r="H97" s="645"/>
      <c r="I97" s="645"/>
      <c r="J97" s="645"/>
    </row>
    <row r="98" spans="1:10" ht="15.75" x14ac:dyDescent="0.25">
      <c r="A98" s="531">
        <v>190</v>
      </c>
      <c r="C98" s="659"/>
      <c r="D98" s="649"/>
      <c r="E98" s="649"/>
      <c r="F98" s="650"/>
      <c r="G98" s="645"/>
      <c r="H98" s="645"/>
      <c r="I98" s="645"/>
      <c r="J98" s="645"/>
    </row>
    <row r="99" spans="1:10" ht="15.75" x14ac:dyDescent="0.25">
      <c r="A99" s="650">
        <v>192</v>
      </c>
      <c r="B99" s="531"/>
      <c r="C99" s="659"/>
      <c r="D99" s="672" t="s">
        <v>9</v>
      </c>
      <c r="E99" s="649"/>
      <c r="F99" s="650"/>
      <c r="G99" s="645"/>
      <c r="H99" s="645"/>
      <c r="I99" s="645"/>
      <c r="J99" s="645"/>
    </row>
    <row r="100" spans="1:10" x14ac:dyDescent="0.2">
      <c r="A100" s="531">
        <v>194</v>
      </c>
      <c r="B100" s="647">
        <v>1</v>
      </c>
      <c r="C100" s="668">
        <v>7</v>
      </c>
      <c r="D100" s="649" t="s">
        <v>2504</v>
      </c>
      <c r="E100" s="649" t="s">
        <v>1992</v>
      </c>
      <c r="G100" s="645"/>
      <c r="H100" s="645"/>
      <c r="I100" s="645"/>
      <c r="J100" s="645"/>
    </row>
    <row r="101" spans="1:10" ht="15.75" x14ac:dyDescent="0.25">
      <c r="A101" s="650">
        <v>198</v>
      </c>
      <c r="B101" s="647"/>
      <c r="C101" s="651">
        <f>SUM(C100:C100)</f>
        <v>7</v>
      </c>
      <c r="D101" s="649"/>
      <c r="E101" s="649"/>
      <c r="F101" s="650"/>
      <c r="G101" s="645"/>
      <c r="H101" s="645"/>
      <c r="I101" s="645"/>
      <c r="J101" s="645"/>
    </row>
    <row r="102" spans="1:10" x14ac:dyDescent="0.2">
      <c r="A102" s="531">
        <v>200</v>
      </c>
      <c r="B102" s="531"/>
      <c r="C102" s="668"/>
      <c r="D102" s="649"/>
      <c r="E102" s="649"/>
      <c r="F102" s="650"/>
      <c r="G102" s="645"/>
      <c r="H102" s="645"/>
      <c r="I102" s="645"/>
      <c r="J102" s="645"/>
    </row>
    <row r="103" spans="1:10" ht="15.75" x14ac:dyDescent="0.25">
      <c r="A103" s="531">
        <v>202</v>
      </c>
      <c r="B103" s="531"/>
      <c r="C103" s="668"/>
      <c r="D103" s="675" t="s">
        <v>2505</v>
      </c>
      <c r="E103" s="649"/>
      <c r="F103" s="650"/>
      <c r="G103" s="645"/>
      <c r="H103" s="645"/>
      <c r="I103" s="645"/>
      <c r="J103" s="645"/>
    </row>
    <row r="104" spans="1:10" x14ac:dyDescent="0.2">
      <c r="A104" s="531">
        <v>204</v>
      </c>
      <c r="B104" s="647">
        <v>10</v>
      </c>
      <c r="C104" s="653">
        <v>1</v>
      </c>
      <c r="D104" s="654" t="s">
        <v>598</v>
      </c>
      <c r="E104" s="654" t="s">
        <v>1945</v>
      </c>
      <c r="F104" s="650"/>
      <c r="G104" s="645"/>
      <c r="H104" s="645"/>
      <c r="I104" s="645"/>
      <c r="J104" s="645"/>
    </row>
    <row r="105" spans="1:10" x14ac:dyDescent="0.2">
      <c r="A105" s="531">
        <v>206</v>
      </c>
      <c r="B105" s="647">
        <v>9</v>
      </c>
      <c r="C105" s="653">
        <v>1</v>
      </c>
      <c r="D105" s="654" t="s">
        <v>2506</v>
      </c>
      <c r="E105" s="654" t="s">
        <v>1430</v>
      </c>
      <c r="F105" s="650"/>
      <c r="G105" s="645"/>
      <c r="H105" s="645"/>
      <c r="I105" s="645"/>
      <c r="J105" s="645"/>
    </row>
    <row r="106" spans="1:10" x14ac:dyDescent="0.2">
      <c r="B106" s="647">
        <v>9</v>
      </c>
      <c r="C106" s="653">
        <v>1</v>
      </c>
      <c r="D106" s="654" t="s">
        <v>2507</v>
      </c>
      <c r="E106" s="654" t="s">
        <v>1430</v>
      </c>
      <c r="F106" s="650"/>
      <c r="G106" s="645"/>
      <c r="H106" s="645"/>
      <c r="I106" s="645"/>
      <c r="J106" s="645"/>
    </row>
    <row r="107" spans="1:10" x14ac:dyDescent="0.2">
      <c r="B107" s="647">
        <v>7</v>
      </c>
      <c r="C107" s="653">
        <v>2</v>
      </c>
      <c r="D107" s="654" t="s">
        <v>2508</v>
      </c>
      <c r="E107" s="654" t="s">
        <v>2509</v>
      </c>
      <c r="F107" s="650"/>
      <c r="G107" s="645"/>
      <c r="H107" s="645"/>
      <c r="I107" s="645"/>
      <c r="J107" s="645"/>
    </row>
    <row r="108" spans="1:10" x14ac:dyDescent="0.2">
      <c r="A108" s="531">
        <v>208</v>
      </c>
      <c r="B108" s="647">
        <v>6</v>
      </c>
      <c r="C108" s="653">
        <v>2</v>
      </c>
      <c r="D108" s="654" t="s">
        <v>2453</v>
      </c>
      <c r="E108" s="654" t="s">
        <v>1431</v>
      </c>
      <c r="F108" s="650"/>
      <c r="G108" s="645"/>
      <c r="H108" s="645"/>
      <c r="I108" s="645"/>
      <c r="J108" s="645"/>
    </row>
    <row r="109" spans="1:10" x14ac:dyDescent="0.2">
      <c r="A109" s="531">
        <v>210</v>
      </c>
      <c r="B109" s="647">
        <v>5</v>
      </c>
      <c r="C109" s="653">
        <v>3</v>
      </c>
      <c r="D109" s="654" t="s">
        <v>2454</v>
      </c>
      <c r="E109" s="654" t="s">
        <v>2455</v>
      </c>
      <c r="F109" s="650"/>
      <c r="G109" s="645"/>
      <c r="H109" s="645"/>
      <c r="I109" s="645"/>
      <c r="J109" s="645"/>
    </row>
    <row r="110" spans="1:10" x14ac:dyDescent="0.2">
      <c r="A110" s="531">
        <v>212</v>
      </c>
      <c r="B110" s="647">
        <v>4</v>
      </c>
      <c r="C110" s="653">
        <v>5</v>
      </c>
      <c r="D110" s="654" t="s">
        <v>2456</v>
      </c>
      <c r="E110" s="654" t="s">
        <v>1432</v>
      </c>
      <c r="F110" s="650"/>
      <c r="G110" s="645"/>
      <c r="H110" s="645"/>
      <c r="I110" s="645"/>
      <c r="J110" s="645"/>
    </row>
    <row r="111" spans="1:10" x14ac:dyDescent="0.2">
      <c r="A111" s="531">
        <v>214</v>
      </c>
      <c r="B111" s="647">
        <v>3</v>
      </c>
      <c r="C111" s="653">
        <v>1</v>
      </c>
      <c r="D111" s="654" t="s">
        <v>2457</v>
      </c>
      <c r="E111" s="654" t="s">
        <v>2458</v>
      </c>
      <c r="F111" s="650"/>
      <c r="G111" s="645"/>
      <c r="H111" s="645"/>
      <c r="I111" s="645"/>
      <c r="J111" s="645"/>
    </row>
    <row r="112" spans="1:10" ht="15.75" x14ac:dyDescent="0.25">
      <c r="A112" s="531">
        <v>216</v>
      </c>
      <c r="B112" s="647"/>
      <c r="C112" s="651">
        <f>SUM(C104:C111)</f>
        <v>16</v>
      </c>
      <c r="D112" s="649"/>
      <c r="E112" s="649"/>
      <c r="F112" s="650"/>
      <c r="G112" s="645"/>
      <c r="H112" s="645"/>
      <c r="I112" s="645"/>
      <c r="J112" s="645"/>
    </row>
    <row r="113" spans="1:10" ht="15.75" x14ac:dyDescent="0.25">
      <c r="B113" s="647"/>
      <c r="C113" s="659"/>
      <c r="D113" s="649"/>
      <c r="E113" s="649"/>
      <c r="F113" s="650"/>
      <c r="G113" s="645"/>
      <c r="H113" s="645"/>
      <c r="I113" s="645"/>
      <c r="J113" s="645"/>
    </row>
    <row r="114" spans="1:10" x14ac:dyDescent="0.2">
      <c r="A114" s="531">
        <v>226</v>
      </c>
      <c r="B114" s="531"/>
      <c r="C114" s="668"/>
      <c r="D114" s="649"/>
      <c r="E114" s="649"/>
      <c r="F114" s="650"/>
      <c r="G114" s="645"/>
      <c r="H114" s="645"/>
      <c r="I114" s="645"/>
      <c r="J114" s="645"/>
    </row>
    <row r="115" spans="1:10" ht="15.75" x14ac:dyDescent="0.25">
      <c r="A115" s="531">
        <v>228</v>
      </c>
      <c r="B115" s="531"/>
      <c r="C115" s="647"/>
      <c r="D115" s="648" t="s">
        <v>2510</v>
      </c>
      <c r="E115" s="649"/>
      <c r="F115" s="650"/>
      <c r="G115" s="645"/>
      <c r="H115" s="645"/>
      <c r="I115" s="645"/>
      <c r="J115" s="645"/>
    </row>
    <row r="116" spans="1:10" x14ac:dyDescent="0.2">
      <c r="A116" s="531">
        <v>230</v>
      </c>
      <c r="B116" s="647">
        <v>7</v>
      </c>
      <c r="C116" s="653">
        <v>1</v>
      </c>
      <c r="D116" s="654" t="s">
        <v>2449</v>
      </c>
      <c r="E116" s="654" t="s">
        <v>2475</v>
      </c>
      <c r="F116" s="650"/>
      <c r="G116" s="645"/>
      <c r="H116" s="645"/>
      <c r="I116" s="645"/>
      <c r="J116" s="645"/>
    </row>
    <row r="117" spans="1:10" x14ac:dyDescent="0.2">
      <c r="A117" s="531">
        <v>232</v>
      </c>
      <c r="B117" s="647">
        <v>5</v>
      </c>
      <c r="C117" s="653">
        <v>1</v>
      </c>
      <c r="D117" s="654" t="s">
        <v>2511</v>
      </c>
      <c r="E117" s="654" t="s">
        <v>2441</v>
      </c>
      <c r="F117" s="650"/>
      <c r="G117" s="645"/>
      <c r="H117" s="645"/>
      <c r="I117" s="645"/>
      <c r="J117" s="645"/>
    </row>
    <row r="118" spans="1:10" x14ac:dyDescent="0.2">
      <c r="A118" s="531">
        <v>234</v>
      </c>
      <c r="B118" s="647">
        <v>5</v>
      </c>
      <c r="C118" s="653">
        <v>1</v>
      </c>
      <c r="D118" s="654" t="s">
        <v>2512</v>
      </c>
      <c r="E118" s="654" t="s">
        <v>2443</v>
      </c>
      <c r="F118" s="650"/>
      <c r="G118" s="645"/>
      <c r="H118" s="645"/>
      <c r="I118" s="645"/>
      <c r="J118" s="645"/>
    </row>
    <row r="119" spans="1:10" x14ac:dyDescent="0.2">
      <c r="B119" s="647">
        <v>3</v>
      </c>
      <c r="C119" s="653">
        <v>4</v>
      </c>
      <c r="D119" s="654" t="s">
        <v>2513</v>
      </c>
      <c r="E119" s="654" t="s">
        <v>2502</v>
      </c>
      <c r="F119" s="650"/>
      <c r="G119" s="645"/>
      <c r="H119" s="645"/>
      <c r="I119" s="645"/>
      <c r="J119" s="645"/>
    </row>
    <row r="120" spans="1:10" x14ac:dyDescent="0.2">
      <c r="B120" s="647">
        <v>3</v>
      </c>
      <c r="C120" s="653">
        <v>20</v>
      </c>
      <c r="D120" s="654" t="s">
        <v>2514</v>
      </c>
      <c r="E120" s="654" t="s">
        <v>2515</v>
      </c>
      <c r="F120" s="650"/>
      <c r="G120" s="645"/>
      <c r="H120" s="645"/>
      <c r="I120" s="645"/>
      <c r="J120" s="645"/>
    </row>
    <row r="121" spans="1:10" x14ac:dyDescent="0.2">
      <c r="B121" s="647">
        <v>3</v>
      </c>
      <c r="C121" s="653">
        <v>1</v>
      </c>
      <c r="D121" s="654" t="s">
        <v>2457</v>
      </c>
      <c r="E121" s="654" t="s">
        <v>2458</v>
      </c>
      <c r="F121" s="650"/>
      <c r="G121" s="645"/>
      <c r="H121" s="645"/>
      <c r="I121" s="645"/>
      <c r="J121" s="645"/>
    </row>
    <row r="122" spans="1:10" ht="16.5" thickBot="1" x14ac:dyDescent="0.3">
      <c r="C122" s="676">
        <f>SUM(C116:C121)</f>
        <v>28</v>
      </c>
      <c r="D122" s="649"/>
      <c r="E122" s="531"/>
      <c r="F122" s="650"/>
      <c r="G122" s="645"/>
      <c r="H122" s="645"/>
      <c r="I122" s="645"/>
      <c r="J122" s="645"/>
    </row>
    <row r="123" spans="1:10" ht="15.75" x14ac:dyDescent="0.25">
      <c r="B123" s="647"/>
      <c r="C123" s="659"/>
      <c r="D123" s="649"/>
      <c r="E123" s="649"/>
      <c r="F123" s="650"/>
      <c r="G123" s="645"/>
      <c r="H123" s="645"/>
      <c r="I123" s="645"/>
      <c r="J123" s="645"/>
    </row>
    <row r="124" spans="1:10" ht="15.75" x14ac:dyDescent="0.25">
      <c r="B124" s="647"/>
      <c r="C124" s="659"/>
      <c r="D124" s="672" t="s">
        <v>9</v>
      </c>
      <c r="E124" s="649"/>
      <c r="F124" s="650"/>
      <c r="G124" s="645"/>
      <c r="H124" s="645"/>
      <c r="I124" s="645"/>
      <c r="J124" s="645"/>
    </row>
    <row r="125" spans="1:10" x14ac:dyDescent="0.2">
      <c r="B125" s="647">
        <v>1</v>
      </c>
      <c r="C125" s="668">
        <v>1</v>
      </c>
      <c r="D125" s="654" t="s">
        <v>2516</v>
      </c>
      <c r="E125" s="649"/>
      <c r="F125" s="650"/>
      <c r="G125" s="645"/>
      <c r="H125" s="645"/>
      <c r="I125" s="645"/>
      <c r="J125" s="645"/>
    </row>
    <row r="126" spans="1:10" ht="15.75" x14ac:dyDescent="0.25">
      <c r="B126" s="647"/>
      <c r="C126" s="659"/>
      <c r="D126" s="649"/>
      <c r="E126" s="649"/>
      <c r="F126" s="650"/>
      <c r="G126" s="645"/>
      <c r="H126" s="645"/>
      <c r="I126" s="645"/>
      <c r="J126" s="645"/>
    </row>
    <row r="127" spans="1:10" ht="15.75" x14ac:dyDescent="0.25">
      <c r="B127" s="647"/>
      <c r="D127" s="662" t="s">
        <v>2517</v>
      </c>
      <c r="E127" s="649"/>
      <c r="F127" s="650"/>
      <c r="G127" s="645"/>
      <c r="H127" s="645"/>
      <c r="I127" s="645"/>
      <c r="J127" s="645"/>
    </row>
    <row r="128" spans="1:10" x14ac:dyDescent="0.2">
      <c r="B128" s="647">
        <v>9</v>
      </c>
      <c r="C128" s="653">
        <v>1</v>
      </c>
      <c r="D128" s="654" t="s">
        <v>2518</v>
      </c>
      <c r="E128" s="654" t="s">
        <v>1430</v>
      </c>
      <c r="F128" s="650"/>
      <c r="G128" s="645"/>
      <c r="H128" s="645"/>
      <c r="I128" s="645"/>
      <c r="J128" s="645"/>
    </row>
    <row r="129" spans="2:10" x14ac:dyDescent="0.2">
      <c r="B129" s="647">
        <v>6</v>
      </c>
      <c r="C129" s="653">
        <v>2</v>
      </c>
      <c r="D129" s="654" t="s">
        <v>2453</v>
      </c>
      <c r="E129" s="654" t="s">
        <v>1431</v>
      </c>
      <c r="F129" s="650"/>
      <c r="G129" s="645"/>
      <c r="H129" s="645"/>
      <c r="I129" s="645"/>
      <c r="J129" s="645"/>
    </row>
    <row r="130" spans="2:10" x14ac:dyDescent="0.2">
      <c r="B130" s="647">
        <v>5</v>
      </c>
      <c r="C130" s="653">
        <v>1</v>
      </c>
      <c r="D130" s="654" t="s">
        <v>2454</v>
      </c>
      <c r="E130" s="654" t="s">
        <v>2455</v>
      </c>
      <c r="F130" s="650"/>
      <c r="G130" s="645"/>
      <c r="H130" s="645"/>
      <c r="I130" s="645"/>
      <c r="J130" s="645"/>
    </row>
    <row r="131" spans="2:10" x14ac:dyDescent="0.2">
      <c r="B131" s="647">
        <v>4</v>
      </c>
      <c r="C131" s="653">
        <v>1</v>
      </c>
      <c r="D131" s="654" t="s">
        <v>2456</v>
      </c>
      <c r="E131" s="654" t="s">
        <v>1432</v>
      </c>
      <c r="F131" s="650"/>
      <c r="G131" s="645"/>
      <c r="H131" s="645"/>
      <c r="I131" s="645"/>
      <c r="J131" s="645"/>
    </row>
    <row r="132" spans="2:10" x14ac:dyDescent="0.2">
      <c r="B132" s="647">
        <v>3</v>
      </c>
      <c r="C132" s="653">
        <v>1</v>
      </c>
      <c r="D132" s="654" t="s">
        <v>2457</v>
      </c>
      <c r="E132" s="654" t="s">
        <v>2458</v>
      </c>
      <c r="F132" s="650"/>
      <c r="G132" s="645"/>
      <c r="H132" s="645"/>
      <c r="I132" s="645"/>
      <c r="J132" s="645"/>
    </row>
    <row r="133" spans="2:10" x14ac:dyDescent="0.2">
      <c r="B133" s="647">
        <v>3</v>
      </c>
      <c r="C133" s="653">
        <v>1</v>
      </c>
      <c r="D133" s="654" t="s">
        <v>2519</v>
      </c>
      <c r="E133" s="654" t="s">
        <v>2458</v>
      </c>
      <c r="F133" s="650"/>
      <c r="G133" s="645"/>
      <c r="H133" s="645"/>
      <c r="I133" s="645"/>
      <c r="J133" s="645"/>
    </row>
    <row r="134" spans="2:10" ht="16.5" thickBot="1" x14ac:dyDescent="0.3">
      <c r="B134" s="647"/>
      <c r="C134" s="677">
        <f>SUM(C128:C133)</f>
        <v>7</v>
      </c>
      <c r="F134" s="650"/>
      <c r="G134" s="645"/>
      <c r="H134" s="645"/>
      <c r="I134" s="645"/>
      <c r="J134" s="645"/>
    </row>
    <row r="135" spans="2:10" ht="15.75" x14ac:dyDescent="0.25">
      <c r="B135" s="647"/>
      <c r="C135" s="659"/>
      <c r="D135" s="649"/>
      <c r="E135" s="649"/>
      <c r="F135" s="650"/>
      <c r="G135" s="645"/>
      <c r="H135" s="645"/>
      <c r="I135" s="645"/>
      <c r="J135" s="645"/>
    </row>
    <row r="136" spans="2:10" ht="20.25" x14ac:dyDescent="0.3">
      <c r="B136" s="647"/>
      <c r="C136" s="659"/>
      <c r="D136" s="678" t="s">
        <v>2520</v>
      </c>
      <c r="E136" s="679"/>
      <c r="F136" s="650"/>
      <c r="G136" s="645"/>
      <c r="H136" s="645"/>
      <c r="I136" s="645"/>
      <c r="J136" s="645"/>
    </row>
    <row r="137" spans="2:10" ht="20.25" x14ac:dyDescent="0.3">
      <c r="B137" s="647"/>
      <c r="C137" s="668">
        <v>1</v>
      </c>
      <c r="D137" s="680" t="s">
        <v>626</v>
      </c>
      <c r="E137" s="680"/>
      <c r="F137" s="679"/>
      <c r="G137" s="645"/>
      <c r="H137" s="645"/>
      <c r="I137" s="645"/>
      <c r="J137" s="645"/>
    </row>
    <row r="138" spans="2:10" x14ac:dyDescent="0.2">
      <c r="B138" s="647">
        <v>4</v>
      </c>
      <c r="C138" s="668">
        <v>1</v>
      </c>
      <c r="D138" s="680" t="s">
        <v>2456</v>
      </c>
      <c r="E138" s="680" t="s">
        <v>1432</v>
      </c>
      <c r="F138" s="680"/>
      <c r="G138" s="645"/>
      <c r="H138" s="645"/>
      <c r="I138" s="645"/>
      <c r="J138" s="645"/>
    </row>
    <row r="139" spans="2:10" x14ac:dyDescent="0.2">
      <c r="B139" s="647">
        <v>4</v>
      </c>
      <c r="C139" s="668">
        <v>1</v>
      </c>
      <c r="D139" s="680" t="s">
        <v>2521</v>
      </c>
      <c r="E139" s="656" t="s">
        <v>1432</v>
      </c>
      <c r="F139" s="680"/>
      <c r="G139" s="645"/>
      <c r="H139" s="645"/>
      <c r="I139" s="645"/>
      <c r="J139" s="645"/>
    </row>
    <row r="140" spans="2:10" ht="16.5" thickBot="1" x14ac:dyDescent="0.3">
      <c r="B140" s="647"/>
      <c r="C140" s="661">
        <f>SUM(C137:C139)</f>
        <v>3</v>
      </c>
      <c r="D140" s="649"/>
      <c r="E140" s="649"/>
      <c r="F140" s="680"/>
      <c r="G140" s="645"/>
      <c r="H140" s="645"/>
      <c r="I140" s="645"/>
      <c r="J140" s="645"/>
    </row>
    <row r="141" spans="2:10" ht="15.75" x14ac:dyDescent="0.25">
      <c r="B141" s="647"/>
      <c r="C141" s="659"/>
      <c r="D141" s="649"/>
      <c r="E141" s="649"/>
      <c r="F141" s="650"/>
      <c r="G141" s="645"/>
      <c r="H141" s="645"/>
      <c r="I141" s="645"/>
      <c r="J141" s="645"/>
    </row>
    <row r="142" spans="2:10" ht="15.75" x14ac:dyDescent="0.25">
      <c r="B142" s="647"/>
      <c r="C142" s="659"/>
      <c r="D142" s="672" t="s">
        <v>9</v>
      </c>
      <c r="E142" s="649"/>
      <c r="F142" s="650"/>
      <c r="G142" s="645"/>
      <c r="H142" s="645"/>
      <c r="I142" s="645"/>
      <c r="J142" s="645"/>
    </row>
    <row r="143" spans="2:10" x14ac:dyDescent="0.2">
      <c r="B143" s="647"/>
      <c r="C143" s="668">
        <v>1</v>
      </c>
      <c r="D143" s="680" t="s">
        <v>2522</v>
      </c>
      <c r="E143" s="649"/>
      <c r="F143" s="650"/>
      <c r="G143" s="645"/>
      <c r="H143" s="645"/>
      <c r="I143" s="645"/>
      <c r="J143" s="645"/>
    </row>
    <row r="144" spans="2:10" x14ac:dyDescent="0.2">
      <c r="B144" s="647"/>
      <c r="C144" s="668">
        <v>1</v>
      </c>
      <c r="D144" s="680" t="s">
        <v>2523</v>
      </c>
      <c r="E144" s="649"/>
      <c r="F144" s="650"/>
      <c r="G144" s="645"/>
      <c r="H144" s="645"/>
      <c r="I144" s="645"/>
      <c r="J144" s="645"/>
    </row>
    <row r="145" spans="2:10" x14ac:dyDescent="0.2">
      <c r="B145" s="647"/>
      <c r="C145" s="646">
        <v>1</v>
      </c>
      <c r="D145" s="680" t="s">
        <v>2524</v>
      </c>
      <c r="E145" s="649"/>
      <c r="F145" s="650"/>
      <c r="G145" s="645"/>
      <c r="H145" s="645"/>
      <c r="I145" s="645"/>
      <c r="J145" s="645"/>
    </row>
    <row r="146" spans="2:10" ht="16.5" thickBot="1" x14ac:dyDescent="0.3">
      <c r="B146" s="647"/>
      <c r="C146" s="661">
        <f>SUM(C143:C145)</f>
        <v>3</v>
      </c>
      <c r="D146" s="649"/>
      <c r="E146" s="649"/>
      <c r="F146" s="650"/>
      <c r="G146" s="645"/>
      <c r="H146" s="645"/>
      <c r="I146" s="645"/>
      <c r="J146" s="645"/>
    </row>
    <row r="147" spans="2:10" ht="15.75" x14ac:dyDescent="0.25">
      <c r="B147" s="647"/>
      <c r="C147" s="659"/>
      <c r="D147" s="649"/>
      <c r="E147" s="649"/>
      <c r="F147" s="650"/>
      <c r="G147" s="645"/>
      <c r="H147" s="645"/>
      <c r="I147" s="645"/>
      <c r="J147" s="645"/>
    </row>
    <row r="148" spans="2:10" ht="15.75" x14ac:dyDescent="0.25">
      <c r="B148" s="647"/>
      <c r="C148" s="659"/>
      <c r="D148" s="675" t="s">
        <v>2525</v>
      </c>
      <c r="E148" s="649"/>
      <c r="F148" s="650"/>
      <c r="I148" s="645"/>
      <c r="J148" s="645"/>
    </row>
    <row r="149" spans="2:10" x14ac:dyDescent="0.2">
      <c r="B149" s="647">
        <v>10</v>
      </c>
      <c r="C149" s="668">
        <v>1</v>
      </c>
      <c r="D149" s="680" t="s">
        <v>2526</v>
      </c>
      <c r="E149" s="649" t="s">
        <v>1944</v>
      </c>
      <c r="F149" s="650"/>
      <c r="G149" s="645"/>
      <c r="H149" s="645"/>
      <c r="I149" s="645"/>
      <c r="J149" s="645"/>
    </row>
    <row r="150" spans="2:10" x14ac:dyDescent="0.2">
      <c r="B150" s="647">
        <v>8</v>
      </c>
      <c r="C150" s="668">
        <v>1</v>
      </c>
      <c r="D150" s="680" t="s">
        <v>2527</v>
      </c>
      <c r="E150" s="649" t="s">
        <v>2464</v>
      </c>
      <c r="F150" s="650"/>
      <c r="G150" s="645"/>
      <c r="H150" s="645"/>
      <c r="I150" s="645"/>
      <c r="J150" s="645"/>
    </row>
    <row r="151" spans="2:10" x14ac:dyDescent="0.2">
      <c r="B151" s="647">
        <v>7</v>
      </c>
      <c r="C151" s="668">
        <v>2</v>
      </c>
      <c r="D151" s="680" t="s">
        <v>2528</v>
      </c>
      <c r="E151" s="649" t="s">
        <v>2439</v>
      </c>
      <c r="F151" s="650"/>
      <c r="G151" s="645"/>
      <c r="H151" s="645"/>
      <c r="I151" s="645"/>
      <c r="J151" s="645"/>
    </row>
    <row r="152" spans="2:10" x14ac:dyDescent="0.2">
      <c r="B152" s="647">
        <v>4</v>
      </c>
      <c r="C152" s="668">
        <v>1</v>
      </c>
      <c r="D152" s="680" t="s">
        <v>2529</v>
      </c>
      <c r="E152" s="649" t="s">
        <v>1432</v>
      </c>
      <c r="F152" s="650"/>
      <c r="G152" s="645"/>
      <c r="H152" s="645"/>
      <c r="I152" s="645"/>
      <c r="J152" s="645"/>
    </row>
    <row r="153" spans="2:10" x14ac:dyDescent="0.2">
      <c r="B153" s="647">
        <v>3</v>
      </c>
      <c r="C153" s="668">
        <v>1</v>
      </c>
      <c r="D153" s="680" t="s">
        <v>2457</v>
      </c>
      <c r="E153" s="649" t="s">
        <v>2458</v>
      </c>
      <c r="F153" s="650"/>
      <c r="G153" s="645"/>
      <c r="H153" s="645"/>
      <c r="I153" s="645"/>
      <c r="J153" s="645"/>
    </row>
    <row r="154" spans="2:10" ht="16.5" thickBot="1" x14ac:dyDescent="0.3">
      <c r="B154" s="647"/>
      <c r="C154" s="661">
        <f>SUM(C149:C153)</f>
        <v>6</v>
      </c>
      <c r="D154" s="649"/>
      <c r="E154" s="649"/>
      <c r="F154" s="650"/>
      <c r="I154" s="645"/>
      <c r="J154" s="645"/>
    </row>
    <row r="155" spans="2:10" ht="15.75" x14ac:dyDescent="0.25">
      <c r="B155" s="647"/>
      <c r="C155" s="659"/>
      <c r="D155" s="649"/>
      <c r="E155" s="649"/>
      <c r="F155" s="650"/>
      <c r="I155" s="645"/>
      <c r="J155" s="645"/>
    </row>
    <row r="156" spans="2:10" ht="15.75" x14ac:dyDescent="0.25">
      <c r="B156" s="647"/>
      <c r="C156" s="659"/>
      <c r="D156" s="681" t="s">
        <v>247</v>
      </c>
      <c r="E156" s="649"/>
      <c r="F156" s="650"/>
      <c r="I156" s="645"/>
      <c r="J156" s="645"/>
    </row>
    <row r="157" spans="2:10" ht="15.75" x14ac:dyDescent="0.25">
      <c r="B157" s="647"/>
      <c r="C157" s="659"/>
      <c r="D157" s="681"/>
      <c r="E157" s="649"/>
      <c r="F157" s="650"/>
      <c r="G157" s="645"/>
      <c r="I157" s="645"/>
      <c r="J157" s="645"/>
    </row>
    <row r="158" spans="2:10" ht="15.75" x14ac:dyDescent="0.25">
      <c r="B158" s="647"/>
      <c r="C158" s="647"/>
      <c r="D158" s="648" t="s">
        <v>2530</v>
      </c>
      <c r="E158" s="649"/>
      <c r="F158" s="650"/>
      <c r="G158" s="645"/>
      <c r="I158" s="645"/>
      <c r="J158" s="645"/>
    </row>
    <row r="159" spans="2:10" x14ac:dyDescent="0.2">
      <c r="B159" s="647"/>
      <c r="C159" s="653">
        <v>1</v>
      </c>
      <c r="D159" s="654" t="s">
        <v>2531</v>
      </c>
      <c r="E159" s="654"/>
      <c r="F159" s="650"/>
      <c r="G159" s="645"/>
      <c r="I159" s="645"/>
      <c r="J159" s="645"/>
    </row>
    <row r="160" spans="2:10" x14ac:dyDescent="0.2">
      <c r="B160" s="646">
        <v>10</v>
      </c>
      <c r="C160" s="655">
        <v>1</v>
      </c>
      <c r="D160" s="656" t="s">
        <v>821</v>
      </c>
      <c r="E160" s="656" t="s">
        <v>1945</v>
      </c>
      <c r="I160" s="645"/>
      <c r="J160" s="645"/>
    </row>
    <row r="161" spans="1:10" x14ac:dyDescent="0.2">
      <c r="B161" s="646">
        <v>7</v>
      </c>
      <c r="C161" s="655">
        <v>1</v>
      </c>
      <c r="D161" s="656" t="s">
        <v>2532</v>
      </c>
      <c r="E161" s="656" t="s">
        <v>2475</v>
      </c>
      <c r="I161" s="645"/>
      <c r="J161" s="645"/>
    </row>
    <row r="162" spans="1:10" x14ac:dyDescent="0.2">
      <c r="B162" s="646">
        <v>7</v>
      </c>
      <c r="C162" s="655">
        <v>1</v>
      </c>
      <c r="D162" s="656" t="s">
        <v>2533</v>
      </c>
      <c r="E162" s="656" t="s">
        <v>2439</v>
      </c>
      <c r="I162" s="645"/>
      <c r="J162" s="645"/>
    </row>
    <row r="163" spans="1:10" x14ac:dyDescent="0.2">
      <c r="B163" s="646">
        <v>7</v>
      </c>
      <c r="C163" s="655">
        <v>1</v>
      </c>
      <c r="D163" s="656" t="s">
        <v>2534</v>
      </c>
      <c r="E163" s="656" t="s">
        <v>2439</v>
      </c>
      <c r="I163" s="645"/>
      <c r="J163" s="645"/>
    </row>
    <row r="164" spans="1:10" x14ac:dyDescent="0.2">
      <c r="B164" s="646">
        <v>6</v>
      </c>
      <c r="C164" s="655">
        <v>1</v>
      </c>
      <c r="D164" s="656" t="s">
        <v>2535</v>
      </c>
      <c r="E164" s="656" t="s">
        <v>1431</v>
      </c>
      <c r="I164" s="645"/>
      <c r="J164" s="645"/>
    </row>
    <row r="165" spans="1:10" x14ac:dyDescent="0.2">
      <c r="B165" s="646">
        <v>5</v>
      </c>
      <c r="C165" s="655">
        <v>2</v>
      </c>
      <c r="D165" s="656" t="s">
        <v>2454</v>
      </c>
      <c r="E165" s="656" t="s">
        <v>2455</v>
      </c>
      <c r="I165" s="645"/>
      <c r="J165" s="645"/>
    </row>
    <row r="166" spans="1:10" x14ac:dyDescent="0.2">
      <c r="B166" s="646">
        <v>5</v>
      </c>
      <c r="C166" s="655">
        <v>1</v>
      </c>
      <c r="D166" s="656" t="s">
        <v>2536</v>
      </c>
      <c r="E166" s="656" t="s">
        <v>2455</v>
      </c>
      <c r="I166" s="645"/>
      <c r="J166" s="645"/>
    </row>
    <row r="167" spans="1:10" x14ac:dyDescent="0.2">
      <c r="A167" s="531">
        <v>236</v>
      </c>
      <c r="B167" s="646">
        <v>4</v>
      </c>
      <c r="C167" s="655">
        <v>2</v>
      </c>
      <c r="D167" s="656" t="s">
        <v>2456</v>
      </c>
      <c r="E167" s="656" t="s">
        <v>1432</v>
      </c>
      <c r="I167" s="645"/>
      <c r="J167" s="645"/>
    </row>
    <row r="168" spans="1:10" x14ac:dyDescent="0.2">
      <c r="A168" s="531">
        <v>238</v>
      </c>
      <c r="B168" s="646">
        <v>3</v>
      </c>
      <c r="C168" s="655">
        <v>2</v>
      </c>
      <c r="D168" s="656" t="s">
        <v>2457</v>
      </c>
      <c r="E168" s="656" t="s">
        <v>2458</v>
      </c>
      <c r="I168" s="645"/>
      <c r="J168" s="645"/>
    </row>
    <row r="169" spans="1:10" x14ac:dyDescent="0.2">
      <c r="A169" s="531">
        <v>240</v>
      </c>
      <c r="B169" s="646">
        <v>3</v>
      </c>
      <c r="C169" s="655">
        <v>1</v>
      </c>
      <c r="D169" s="656" t="s">
        <v>2537</v>
      </c>
      <c r="E169" s="656" t="s">
        <v>2458</v>
      </c>
      <c r="I169" s="645"/>
      <c r="J169" s="645"/>
    </row>
    <row r="170" spans="1:10" ht="15.75" x14ac:dyDescent="0.25">
      <c r="A170" s="531">
        <v>244</v>
      </c>
      <c r="B170" s="647"/>
      <c r="C170" s="641">
        <f>SUM(C159:C169)</f>
        <v>14</v>
      </c>
      <c r="G170" s="645"/>
      <c r="I170" s="645"/>
      <c r="J170" s="645"/>
    </row>
    <row r="171" spans="1:10" ht="15.75" x14ac:dyDescent="0.25">
      <c r="C171" s="665"/>
      <c r="G171" s="645"/>
      <c r="I171" s="645"/>
      <c r="J171" s="645"/>
    </row>
    <row r="172" spans="1:10" ht="15.75" x14ac:dyDescent="0.25">
      <c r="D172" s="662" t="s">
        <v>2538</v>
      </c>
      <c r="I172" s="645"/>
      <c r="J172" s="645"/>
    </row>
    <row r="173" spans="1:10" x14ac:dyDescent="0.2">
      <c r="B173" s="646">
        <v>9</v>
      </c>
      <c r="C173" s="655">
        <v>1</v>
      </c>
      <c r="D173" s="656" t="s">
        <v>2539</v>
      </c>
      <c r="E173" s="656" t="s">
        <v>1430</v>
      </c>
      <c r="I173" s="645"/>
      <c r="J173" s="645"/>
    </row>
    <row r="174" spans="1:10" x14ac:dyDescent="0.2">
      <c r="B174" s="646">
        <v>7</v>
      </c>
      <c r="C174" s="655">
        <v>1</v>
      </c>
      <c r="D174" s="656" t="s">
        <v>2540</v>
      </c>
      <c r="E174" s="656" t="s">
        <v>2541</v>
      </c>
      <c r="I174" s="645"/>
      <c r="J174" s="645"/>
    </row>
    <row r="175" spans="1:10" x14ac:dyDescent="0.2">
      <c r="A175" s="531">
        <v>262</v>
      </c>
      <c r="B175" s="646">
        <v>5</v>
      </c>
      <c r="C175" s="655">
        <v>1</v>
      </c>
      <c r="D175" s="656" t="s">
        <v>2542</v>
      </c>
      <c r="E175" s="656" t="s">
        <v>2543</v>
      </c>
      <c r="I175" s="645"/>
      <c r="J175" s="645"/>
    </row>
    <row r="176" spans="1:10" x14ac:dyDescent="0.2">
      <c r="A176" s="531">
        <v>264</v>
      </c>
      <c r="B176" s="646">
        <v>5</v>
      </c>
      <c r="C176" s="655">
        <v>1</v>
      </c>
      <c r="D176" s="656" t="s">
        <v>2544</v>
      </c>
      <c r="E176" s="656" t="s">
        <v>2545</v>
      </c>
      <c r="I176" s="645"/>
      <c r="J176" s="645"/>
    </row>
    <row r="177" spans="1:10" x14ac:dyDescent="0.2">
      <c r="A177" s="531">
        <v>266</v>
      </c>
      <c r="B177" s="646">
        <v>5</v>
      </c>
      <c r="C177" s="655">
        <v>1</v>
      </c>
      <c r="D177" s="656" t="s">
        <v>2546</v>
      </c>
      <c r="E177" s="656" t="s">
        <v>2545</v>
      </c>
      <c r="I177" s="645"/>
      <c r="J177" s="645"/>
    </row>
    <row r="178" spans="1:10" x14ac:dyDescent="0.2">
      <c r="A178" s="531">
        <v>268</v>
      </c>
      <c r="B178" s="646">
        <v>5</v>
      </c>
      <c r="C178" s="655">
        <v>1</v>
      </c>
      <c r="D178" s="656" t="s">
        <v>2547</v>
      </c>
      <c r="E178" s="656" t="s">
        <v>2545</v>
      </c>
      <c r="I178" s="645"/>
      <c r="J178" s="645"/>
    </row>
    <row r="179" spans="1:10" x14ac:dyDescent="0.2">
      <c r="A179" s="531">
        <v>270</v>
      </c>
      <c r="B179" s="646">
        <v>3</v>
      </c>
      <c r="C179" s="655">
        <v>2</v>
      </c>
      <c r="D179" s="656" t="s">
        <v>2548</v>
      </c>
      <c r="E179" s="656" t="s">
        <v>2549</v>
      </c>
      <c r="I179" s="645"/>
      <c r="J179" s="645"/>
    </row>
    <row r="180" spans="1:10" x14ac:dyDescent="0.2">
      <c r="A180" s="531">
        <v>272</v>
      </c>
      <c r="B180" s="646">
        <v>5</v>
      </c>
      <c r="C180" s="655">
        <v>1</v>
      </c>
      <c r="D180" s="656" t="s">
        <v>2550</v>
      </c>
      <c r="E180" s="656" t="s">
        <v>2455</v>
      </c>
      <c r="I180" s="645"/>
      <c r="J180" s="645"/>
    </row>
    <row r="181" spans="1:10" x14ac:dyDescent="0.2">
      <c r="A181" s="531">
        <v>274</v>
      </c>
      <c r="B181" s="646">
        <v>4</v>
      </c>
      <c r="C181" s="655">
        <v>3</v>
      </c>
      <c r="D181" s="656" t="s">
        <v>2551</v>
      </c>
      <c r="E181" s="656" t="s">
        <v>1432</v>
      </c>
      <c r="I181" s="645"/>
      <c r="J181" s="645"/>
    </row>
    <row r="182" spans="1:10" x14ac:dyDescent="0.2">
      <c r="A182" s="531">
        <v>278</v>
      </c>
      <c r="B182" s="646">
        <v>3</v>
      </c>
      <c r="C182" s="655">
        <v>3</v>
      </c>
      <c r="D182" s="656" t="s">
        <v>2552</v>
      </c>
      <c r="E182" s="656" t="s">
        <v>2458</v>
      </c>
      <c r="I182" s="645"/>
      <c r="J182" s="645"/>
    </row>
    <row r="183" spans="1:10" x14ac:dyDescent="0.2">
      <c r="A183" s="531">
        <v>280</v>
      </c>
      <c r="B183" s="646">
        <v>4</v>
      </c>
      <c r="C183" s="655">
        <v>1</v>
      </c>
      <c r="D183" s="656" t="s">
        <v>2456</v>
      </c>
      <c r="E183" s="656" t="s">
        <v>1432</v>
      </c>
      <c r="I183" s="645"/>
      <c r="J183" s="645"/>
    </row>
    <row r="184" spans="1:10" ht="15.75" thickBot="1" x14ac:dyDescent="0.25">
      <c r="B184" s="646">
        <v>3</v>
      </c>
      <c r="C184" s="655">
        <v>1</v>
      </c>
      <c r="D184" s="656" t="s">
        <v>2537</v>
      </c>
      <c r="E184" s="656" t="s">
        <v>2458</v>
      </c>
      <c r="I184" s="645"/>
      <c r="J184" s="645"/>
    </row>
    <row r="185" spans="1:10" ht="15.75" x14ac:dyDescent="0.25">
      <c r="A185" s="650"/>
      <c r="B185" s="531"/>
      <c r="C185" s="658">
        <f>SUM(C173:C184)</f>
        <v>17</v>
      </c>
      <c r="I185" s="645"/>
      <c r="J185" s="645"/>
    </row>
    <row r="186" spans="1:10" ht="15.75" x14ac:dyDescent="0.25">
      <c r="A186" s="531">
        <v>284</v>
      </c>
      <c r="C186" s="665"/>
      <c r="I186" s="645"/>
      <c r="J186" s="645"/>
    </row>
    <row r="187" spans="1:10" ht="15.75" x14ac:dyDescent="0.25">
      <c r="C187" s="659"/>
      <c r="D187" s="672" t="s">
        <v>9</v>
      </c>
      <c r="I187" s="645"/>
      <c r="J187" s="645"/>
    </row>
    <row r="188" spans="1:10" x14ac:dyDescent="0.2">
      <c r="C188" s="668">
        <v>1</v>
      </c>
      <c r="D188" s="667" t="s">
        <v>2553</v>
      </c>
      <c r="E188" s="657" t="s">
        <v>2554</v>
      </c>
      <c r="I188" s="645"/>
      <c r="J188" s="645"/>
    </row>
    <row r="189" spans="1:10" ht="16.5" thickBot="1" x14ac:dyDescent="0.3">
      <c r="C189" s="661">
        <f>SUM(C188)</f>
        <v>1</v>
      </c>
      <c r="D189" s="649"/>
      <c r="I189" s="645"/>
      <c r="J189" s="645"/>
    </row>
    <row r="190" spans="1:10" ht="15.75" x14ac:dyDescent="0.25">
      <c r="C190" s="665"/>
      <c r="I190" s="645"/>
      <c r="J190" s="645"/>
    </row>
    <row r="191" spans="1:10" ht="15.75" x14ac:dyDescent="0.25">
      <c r="A191" s="650">
        <v>248</v>
      </c>
      <c r="B191" s="531"/>
      <c r="C191" s="666"/>
      <c r="D191" s="675" t="s">
        <v>2555</v>
      </c>
      <c r="G191" s="645"/>
      <c r="I191" s="645"/>
      <c r="J191" s="645"/>
    </row>
    <row r="192" spans="1:10" x14ac:dyDescent="0.2">
      <c r="A192" s="531">
        <v>250</v>
      </c>
      <c r="B192" s="646">
        <v>9</v>
      </c>
      <c r="C192" s="653">
        <v>1</v>
      </c>
      <c r="D192" s="654" t="s">
        <v>2556</v>
      </c>
      <c r="E192" s="654" t="s">
        <v>1430</v>
      </c>
      <c r="G192" s="645"/>
      <c r="I192" s="645"/>
      <c r="J192" s="645"/>
    </row>
    <row r="193" spans="1:10" x14ac:dyDescent="0.2">
      <c r="A193" s="531">
        <v>252</v>
      </c>
      <c r="B193" s="646">
        <v>6</v>
      </c>
      <c r="C193" s="653">
        <v>1</v>
      </c>
      <c r="D193" s="654" t="s">
        <v>2557</v>
      </c>
      <c r="E193" s="654" t="s">
        <v>1431</v>
      </c>
      <c r="G193" s="645"/>
      <c r="I193" s="645"/>
      <c r="J193" s="645"/>
    </row>
    <row r="194" spans="1:10" ht="15.75" x14ac:dyDescent="0.25">
      <c r="A194" s="531">
        <v>258</v>
      </c>
      <c r="C194" s="641">
        <f>SUM(C192:C193)</f>
        <v>2</v>
      </c>
      <c r="D194" s="531"/>
      <c r="G194" s="645"/>
      <c r="I194" s="645"/>
      <c r="J194" s="645"/>
    </row>
    <row r="195" spans="1:10" x14ac:dyDescent="0.2">
      <c r="A195" s="531">
        <v>260</v>
      </c>
      <c r="C195" s="666"/>
      <c r="G195" s="645"/>
      <c r="I195" s="645"/>
      <c r="J195" s="645"/>
    </row>
    <row r="196" spans="1:10" ht="15.75" x14ac:dyDescent="0.2">
      <c r="C196" s="666"/>
      <c r="D196" s="682" t="s">
        <v>2558</v>
      </c>
      <c r="E196" s="683"/>
      <c r="I196" s="645"/>
      <c r="J196" s="645"/>
    </row>
    <row r="197" spans="1:10" x14ac:dyDescent="0.2">
      <c r="B197" s="646">
        <v>9</v>
      </c>
      <c r="C197" s="653">
        <v>1</v>
      </c>
      <c r="D197" s="654" t="s">
        <v>2559</v>
      </c>
      <c r="E197" s="654" t="s">
        <v>1430</v>
      </c>
      <c r="G197" s="645"/>
      <c r="I197" s="645"/>
      <c r="J197" s="645"/>
    </row>
    <row r="198" spans="1:10" x14ac:dyDescent="0.2">
      <c r="B198" s="646">
        <v>7</v>
      </c>
      <c r="C198" s="653">
        <v>1</v>
      </c>
      <c r="D198" s="654" t="s">
        <v>2560</v>
      </c>
      <c r="E198" s="654" t="s">
        <v>2439</v>
      </c>
      <c r="G198" s="645"/>
      <c r="I198" s="645"/>
      <c r="J198" s="645"/>
    </row>
    <row r="199" spans="1:10" x14ac:dyDescent="0.2">
      <c r="B199" s="646">
        <v>7</v>
      </c>
      <c r="C199" s="653">
        <v>1</v>
      </c>
      <c r="D199" s="654" t="s">
        <v>2561</v>
      </c>
      <c r="E199" s="654" t="s">
        <v>2439</v>
      </c>
      <c r="G199" s="645"/>
      <c r="I199" s="645"/>
      <c r="J199" s="645"/>
    </row>
    <row r="200" spans="1:10" x14ac:dyDescent="0.2">
      <c r="B200" s="646">
        <v>6</v>
      </c>
      <c r="C200" s="653">
        <v>1</v>
      </c>
      <c r="D200" s="654" t="s">
        <v>2562</v>
      </c>
      <c r="E200" s="654" t="s">
        <v>1431</v>
      </c>
      <c r="G200" s="645"/>
      <c r="I200" s="645"/>
      <c r="J200" s="645"/>
    </row>
    <row r="201" spans="1:10" ht="15.75" x14ac:dyDescent="0.25">
      <c r="C201" s="641">
        <f>SUM(C197:C200)</f>
        <v>4</v>
      </c>
      <c r="D201" s="684"/>
      <c r="I201" s="645"/>
      <c r="J201" s="645"/>
    </row>
    <row r="202" spans="1:10" ht="15.75" x14ac:dyDescent="0.25">
      <c r="C202" s="665"/>
      <c r="D202" s="684"/>
      <c r="I202" s="645"/>
      <c r="J202" s="645"/>
    </row>
    <row r="203" spans="1:10" x14ac:dyDescent="0.2">
      <c r="C203" s="666"/>
      <c r="D203" s="684"/>
      <c r="I203" s="645"/>
      <c r="J203" s="645"/>
    </row>
    <row r="204" spans="1:10" x14ac:dyDescent="0.2">
      <c r="C204" s="666"/>
      <c r="D204" s="684"/>
      <c r="I204" s="645"/>
      <c r="J204" s="645"/>
    </row>
    <row r="205" spans="1:10" ht="15.75" x14ac:dyDescent="0.2">
      <c r="C205" s="666"/>
      <c r="D205" s="685" t="s">
        <v>2563</v>
      </c>
      <c r="I205" s="645"/>
      <c r="J205" s="645"/>
    </row>
    <row r="206" spans="1:10" x14ac:dyDescent="0.2">
      <c r="B206" s="646">
        <v>9</v>
      </c>
      <c r="C206" s="653">
        <v>1</v>
      </c>
      <c r="D206" s="654" t="s">
        <v>2518</v>
      </c>
      <c r="E206" s="654" t="s">
        <v>1430</v>
      </c>
      <c r="G206" s="645"/>
      <c r="I206" s="645"/>
      <c r="J206" s="645"/>
    </row>
    <row r="207" spans="1:10" x14ac:dyDescent="0.2">
      <c r="B207" s="646">
        <v>9</v>
      </c>
      <c r="C207" s="653">
        <v>1</v>
      </c>
      <c r="D207" s="654" t="s">
        <v>2564</v>
      </c>
      <c r="E207" s="654" t="s">
        <v>1946</v>
      </c>
      <c r="G207" s="645"/>
      <c r="I207" s="645"/>
      <c r="J207" s="645"/>
    </row>
    <row r="208" spans="1:10" x14ac:dyDescent="0.2">
      <c r="B208" s="646">
        <v>6</v>
      </c>
      <c r="C208" s="653">
        <v>1</v>
      </c>
      <c r="D208" s="654" t="s">
        <v>2565</v>
      </c>
      <c r="E208" s="654" t="s">
        <v>2566</v>
      </c>
      <c r="G208" s="645"/>
      <c r="I208" s="645"/>
      <c r="J208" s="645"/>
    </row>
    <row r="209" spans="1:10" x14ac:dyDescent="0.2">
      <c r="B209" s="646">
        <v>6</v>
      </c>
      <c r="C209" s="653">
        <v>1</v>
      </c>
      <c r="D209" s="654" t="s">
        <v>2567</v>
      </c>
      <c r="E209" s="654" t="s">
        <v>2566</v>
      </c>
      <c r="G209" s="645"/>
      <c r="I209" s="645"/>
      <c r="J209" s="645"/>
    </row>
    <row r="210" spans="1:10" x14ac:dyDescent="0.2">
      <c r="B210" s="646">
        <v>6</v>
      </c>
      <c r="C210" s="653">
        <v>1</v>
      </c>
      <c r="D210" s="654" t="s">
        <v>2568</v>
      </c>
      <c r="E210" s="654" t="s">
        <v>2566</v>
      </c>
      <c r="G210" s="645"/>
      <c r="I210" s="645"/>
      <c r="J210" s="645"/>
    </row>
    <row r="211" spans="1:10" x14ac:dyDescent="0.2">
      <c r="B211" s="646">
        <v>6</v>
      </c>
      <c r="C211" s="653">
        <v>1</v>
      </c>
      <c r="D211" s="654" t="s">
        <v>2569</v>
      </c>
      <c r="E211" s="654" t="s">
        <v>2566</v>
      </c>
      <c r="G211" s="645"/>
      <c r="I211" s="645"/>
      <c r="J211" s="645"/>
    </row>
    <row r="212" spans="1:10" x14ac:dyDescent="0.2">
      <c r="B212" s="646">
        <v>6</v>
      </c>
      <c r="C212" s="653">
        <v>4</v>
      </c>
      <c r="D212" s="654" t="s">
        <v>2570</v>
      </c>
      <c r="E212" s="654" t="s">
        <v>2441</v>
      </c>
      <c r="G212" s="645"/>
      <c r="I212" s="645"/>
      <c r="J212" s="645"/>
    </row>
    <row r="213" spans="1:10" x14ac:dyDescent="0.2">
      <c r="B213" s="646">
        <v>4</v>
      </c>
      <c r="C213" s="653">
        <v>1</v>
      </c>
      <c r="D213" s="654" t="s">
        <v>2456</v>
      </c>
      <c r="E213" s="654" t="s">
        <v>1432</v>
      </c>
      <c r="G213" s="645"/>
      <c r="I213" s="645"/>
      <c r="J213" s="645"/>
    </row>
    <row r="214" spans="1:10" x14ac:dyDescent="0.2">
      <c r="B214" s="646">
        <v>4</v>
      </c>
      <c r="C214" s="653">
        <v>1</v>
      </c>
      <c r="D214" s="654" t="s">
        <v>2571</v>
      </c>
      <c r="E214" s="654" t="s">
        <v>1432</v>
      </c>
      <c r="G214" s="645"/>
      <c r="I214" s="645"/>
      <c r="J214" s="645"/>
    </row>
    <row r="215" spans="1:10" x14ac:dyDescent="0.2">
      <c r="B215" s="646">
        <v>3</v>
      </c>
      <c r="C215" s="653">
        <v>2</v>
      </c>
      <c r="D215" s="654" t="s">
        <v>2572</v>
      </c>
      <c r="E215" s="654" t="s">
        <v>2573</v>
      </c>
      <c r="G215" s="645"/>
      <c r="I215" s="645"/>
      <c r="J215" s="645"/>
    </row>
    <row r="216" spans="1:10" ht="16.5" thickBot="1" x14ac:dyDescent="0.3">
      <c r="C216" s="677">
        <f>SUM(C206:C215)</f>
        <v>14</v>
      </c>
      <c r="I216" s="645"/>
      <c r="J216" s="645"/>
    </row>
    <row r="217" spans="1:10" ht="15.75" x14ac:dyDescent="0.25">
      <c r="C217" s="665"/>
      <c r="I217" s="645"/>
      <c r="J217" s="645"/>
    </row>
    <row r="218" spans="1:10" ht="15.75" x14ac:dyDescent="0.25">
      <c r="C218" s="659"/>
      <c r="D218" s="649"/>
      <c r="E218" s="531"/>
      <c r="I218" s="645"/>
      <c r="J218" s="645"/>
    </row>
    <row r="219" spans="1:10" ht="15.75" x14ac:dyDescent="0.25">
      <c r="D219" s="662" t="s">
        <v>2574</v>
      </c>
      <c r="I219" s="645"/>
      <c r="J219" s="645"/>
    </row>
    <row r="220" spans="1:10" x14ac:dyDescent="0.2">
      <c r="B220" s="646">
        <v>10</v>
      </c>
      <c r="C220" s="655">
        <v>1</v>
      </c>
      <c r="D220" s="656" t="s">
        <v>2575</v>
      </c>
      <c r="E220" s="656" t="s">
        <v>1941</v>
      </c>
      <c r="I220" s="645"/>
      <c r="J220" s="645"/>
    </row>
    <row r="221" spans="1:10" x14ac:dyDescent="0.2">
      <c r="B221" s="646">
        <v>9</v>
      </c>
      <c r="C221" s="655">
        <v>1</v>
      </c>
      <c r="D221" s="656" t="s">
        <v>1016</v>
      </c>
      <c r="E221" s="656" t="s">
        <v>1945</v>
      </c>
      <c r="I221" s="645"/>
      <c r="J221" s="645"/>
    </row>
    <row r="222" spans="1:10" ht="15.75" x14ac:dyDescent="0.25">
      <c r="B222" s="646">
        <v>9</v>
      </c>
      <c r="C222" s="655">
        <v>1</v>
      </c>
      <c r="D222" s="656" t="s">
        <v>2576</v>
      </c>
      <c r="E222" s="656" t="s">
        <v>1946</v>
      </c>
      <c r="I222" s="645"/>
      <c r="J222" s="645"/>
    </row>
    <row r="223" spans="1:10" x14ac:dyDescent="0.2">
      <c r="B223" s="646">
        <v>9</v>
      </c>
      <c r="C223" s="655">
        <v>1</v>
      </c>
      <c r="D223" s="656" t="s">
        <v>2577</v>
      </c>
      <c r="E223" s="656" t="s">
        <v>1430</v>
      </c>
      <c r="I223" s="645"/>
      <c r="J223" s="645"/>
    </row>
    <row r="224" spans="1:10" x14ac:dyDescent="0.2">
      <c r="A224" s="531">
        <v>294</v>
      </c>
      <c r="B224" s="646">
        <v>7</v>
      </c>
      <c r="C224" s="655">
        <v>0</v>
      </c>
      <c r="D224" s="656" t="s">
        <v>2578</v>
      </c>
      <c r="E224" s="656" t="s">
        <v>2439</v>
      </c>
      <c r="I224" s="645"/>
      <c r="J224" s="645"/>
    </row>
    <row r="225" spans="1:10" x14ac:dyDescent="0.2">
      <c r="B225" s="646">
        <v>6</v>
      </c>
      <c r="C225" s="655">
        <v>1</v>
      </c>
      <c r="D225" s="656" t="s">
        <v>2579</v>
      </c>
      <c r="E225" s="656" t="s">
        <v>2455</v>
      </c>
      <c r="I225" s="645"/>
      <c r="J225" s="645"/>
    </row>
    <row r="226" spans="1:10" x14ac:dyDescent="0.2">
      <c r="A226" s="531">
        <v>286</v>
      </c>
      <c r="B226" s="646">
        <v>6</v>
      </c>
      <c r="C226" s="655">
        <v>1</v>
      </c>
      <c r="D226" s="656" t="s">
        <v>2454</v>
      </c>
      <c r="E226" s="656" t="s">
        <v>2455</v>
      </c>
      <c r="I226" s="645"/>
      <c r="J226" s="645"/>
    </row>
    <row r="227" spans="1:10" x14ac:dyDescent="0.2">
      <c r="A227" s="531">
        <v>288</v>
      </c>
      <c r="B227" s="646">
        <v>4</v>
      </c>
      <c r="C227" s="655">
        <v>1</v>
      </c>
      <c r="D227" s="656" t="s">
        <v>2580</v>
      </c>
      <c r="E227" s="656" t="s">
        <v>1432</v>
      </c>
      <c r="I227" s="645"/>
      <c r="J227" s="645"/>
    </row>
    <row r="228" spans="1:10" x14ac:dyDescent="0.2">
      <c r="A228" s="531">
        <v>292</v>
      </c>
      <c r="B228" s="646">
        <v>3</v>
      </c>
      <c r="C228" s="655">
        <v>1</v>
      </c>
      <c r="D228" s="656" t="s">
        <v>2457</v>
      </c>
      <c r="E228" s="656" t="s">
        <v>2458</v>
      </c>
      <c r="I228" s="645"/>
      <c r="J228" s="645"/>
    </row>
    <row r="229" spans="1:10" ht="16.5" thickBot="1" x14ac:dyDescent="0.3">
      <c r="B229" s="531"/>
      <c r="C229" s="641">
        <f>SUM(C220:C228)</f>
        <v>8</v>
      </c>
      <c r="I229" s="645"/>
      <c r="J229" s="645"/>
    </row>
    <row r="230" spans="1:10" x14ac:dyDescent="0.2">
      <c r="B230" s="531"/>
      <c r="C230" s="664"/>
      <c r="I230" s="645"/>
      <c r="J230" s="645"/>
    </row>
    <row r="231" spans="1:10" x14ac:dyDescent="0.2">
      <c r="A231" s="531">
        <v>296</v>
      </c>
      <c r="C231" s="531"/>
      <c r="I231" s="645"/>
      <c r="J231" s="645"/>
    </row>
    <row r="232" spans="1:10" ht="15.75" x14ac:dyDescent="0.25">
      <c r="A232" s="531">
        <v>308</v>
      </c>
      <c r="D232" s="662" t="s">
        <v>2581</v>
      </c>
      <c r="I232" s="645"/>
      <c r="J232" s="645"/>
    </row>
    <row r="233" spans="1:10" x14ac:dyDescent="0.2">
      <c r="B233" s="646">
        <v>9</v>
      </c>
      <c r="C233" s="655">
        <v>1</v>
      </c>
      <c r="D233" s="656" t="s">
        <v>2582</v>
      </c>
      <c r="E233" s="656" t="s">
        <v>1430</v>
      </c>
      <c r="I233" s="645"/>
      <c r="J233" s="645"/>
    </row>
    <row r="234" spans="1:10" x14ac:dyDescent="0.2">
      <c r="B234" s="646">
        <v>9</v>
      </c>
      <c r="C234" s="655">
        <v>1</v>
      </c>
      <c r="D234" s="656" t="s">
        <v>2583</v>
      </c>
      <c r="E234" s="656" t="s">
        <v>1430</v>
      </c>
      <c r="I234" s="645"/>
      <c r="J234" s="645"/>
    </row>
    <row r="235" spans="1:10" ht="15.75" x14ac:dyDescent="0.25">
      <c r="B235" s="646">
        <v>7</v>
      </c>
      <c r="C235" s="655">
        <v>1</v>
      </c>
      <c r="D235" s="656" t="s">
        <v>2584</v>
      </c>
      <c r="E235" s="656" t="s">
        <v>2439</v>
      </c>
      <c r="I235" s="645"/>
      <c r="J235" s="645"/>
    </row>
    <row r="236" spans="1:10" x14ac:dyDescent="0.2">
      <c r="B236" s="646">
        <v>6</v>
      </c>
      <c r="C236" s="655">
        <v>2</v>
      </c>
      <c r="D236" s="656" t="s">
        <v>2585</v>
      </c>
      <c r="E236" s="656" t="s">
        <v>2566</v>
      </c>
      <c r="I236" s="645"/>
      <c r="J236" s="645"/>
    </row>
    <row r="237" spans="1:10" x14ac:dyDescent="0.2">
      <c r="B237" s="646">
        <v>6</v>
      </c>
      <c r="C237" s="655">
        <v>1</v>
      </c>
      <c r="D237" s="656" t="s">
        <v>2586</v>
      </c>
      <c r="E237" s="656" t="s">
        <v>2566</v>
      </c>
      <c r="I237" s="645"/>
      <c r="J237" s="645"/>
    </row>
    <row r="238" spans="1:10" x14ac:dyDescent="0.2">
      <c r="B238" s="646">
        <v>6</v>
      </c>
      <c r="C238" s="655">
        <v>1</v>
      </c>
      <c r="D238" s="656" t="s">
        <v>2587</v>
      </c>
      <c r="E238" s="656" t="s">
        <v>1431</v>
      </c>
      <c r="I238" s="645"/>
      <c r="J238" s="645"/>
    </row>
    <row r="239" spans="1:10" x14ac:dyDescent="0.2">
      <c r="B239" s="646">
        <v>6</v>
      </c>
      <c r="C239" s="655">
        <v>1</v>
      </c>
      <c r="D239" s="656" t="s">
        <v>2588</v>
      </c>
      <c r="E239" s="656" t="s">
        <v>2566</v>
      </c>
      <c r="I239" s="645"/>
      <c r="J239" s="645"/>
    </row>
    <row r="240" spans="1:10" x14ac:dyDescent="0.2">
      <c r="B240" s="646">
        <v>6</v>
      </c>
      <c r="C240" s="655">
        <v>0</v>
      </c>
      <c r="D240" s="656" t="s">
        <v>2589</v>
      </c>
      <c r="E240" s="656" t="s">
        <v>2545</v>
      </c>
      <c r="I240" s="645"/>
      <c r="J240" s="645"/>
    </row>
    <row r="241" spans="1:10" ht="16.5" thickBot="1" x14ac:dyDescent="0.3">
      <c r="A241" s="650"/>
      <c r="B241" s="650"/>
      <c r="C241" s="686">
        <f>SUM(C233:C240)</f>
        <v>8</v>
      </c>
      <c r="I241" s="645"/>
      <c r="J241" s="645"/>
    </row>
    <row r="242" spans="1:10" x14ac:dyDescent="0.2">
      <c r="A242" s="650"/>
      <c r="B242" s="650"/>
      <c r="C242" s="664"/>
      <c r="I242" s="645"/>
      <c r="J242" s="645"/>
    </row>
    <row r="243" spans="1:10" x14ac:dyDescent="0.2">
      <c r="A243" s="650">
        <v>348</v>
      </c>
      <c r="B243" s="647"/>
      <c r="C243" s="666"/>
      <c r="I243" s="645"/>
      <c r="J243" s="645"/>
    </row>
    <row r="244" spans="1:10" ht="15.75" x14ac:dyDescent="0.2">
      <c r="A244" s="650">
        <v>368</v>
      </c>
      <c r="B244" s="647"/>
      <c r="C244" s="685"/>
      <c r="D244" s="685" t="s">
        <v>2590</v>
      </c>
      <c r="I244" s="645"/>
      <c r="J244" s="645"/>
    </row>
    <row r="245" spans="1:10" x14ac:dyDescent="0.2">
      <c r="A245" s="531">
        <v>370</v>
      </c>
      <c r="B245" s="647"/>
      <c r="C245" s="666"/>
      <c r="I245" s="645"/>
      <c r="J245" s="645"/>
    </row>
    <row r="246" spans="1:10" x14ac:dyDescent="0.2">
      <c r="A246" s="650">
        <v>372</v>
      </c>
      <c r="B246" s="647">
        <v>9</v>
      </c>
      <c r="C246" s="655">
        <v>1</v>
      </c>
      <c r="D246" s="654" t="s">
        <v>2591</v>
      </c>
      <c r="E246" s="656" t="s">
        <v>1430</v>
      </c>
      <c r="I246" s="645"/>
      <c r="J246" s="645"/>
    </row>
    <row r="247" spans="1:10" x14ac:dyDescent="0.2">
      <c r="A247" s="650">
        <v>374</v>
      </c>
      <c r="B247" s="647">
        <v>6</v>
      </c>
      <c r="C247" s="655">
        <v>3</v>
      </c>
      <c r="D247" s="654" t="s">
        <v>2592</v>
      </c>
      <c r="E247" s="656" t="s">
        <v>1431</v>
      </c>
      <c r="I247" s="645"/>
      <c r="J247" s="645"/>
    </row>
    <row r="248" spans="1:10" x14ac:dyDescent="0.2">
      <c r="A248" s="650"/>
      <c r="B248" s="647">
        <v>5</v>
      </c>
      <c r="C248" s="655">
        <v>2</v>
      </c>
      <c r="D248" s="654" t="s">
        <v>2593</v>
      </c>
      <c r="E248" s="656" t="s">
        <v>2455</v>
      </c>
      <c r="I248" s="645"/>
      <c r="J248" s="645"/>
    </row>
    <row r="249" spans="1:10" x14ac:dyDescent="0.2">
      <c r="A249" s="650"/>
      <c r="B249" s="647">
        <v>5</v>
      </c>
      <c r="C249" s="655">
        <v>1</v>
      </c>
      <c r="D249" s="654" t="s">
        <v>2594</v>
      </c>
      <c r="E249" s="656" t="s">
        <v>2455</v>
      </c>
      <c r="I249" s="645"/>
      <c r="J249" s="645"/>
    </row>
    <row r="250" spans="1:10" x14ac:dyDescent="0.2">
      <c r="A250" s="650"/>
      <c r="B250" s="647">
        <v>4</v>
      </c>
      <c r="C250" s="655">
        <v>1</v>
      </c>
      <c r="D250" s="656" t="s">
        <v>2456</v>
      </c>
      <c r="E250" s="656" t="s">
        <v>1431</v>
      </c>
      <c r="I250" s="645"/>
      <c r="J250" s="645"/>
    </row>
    <row r="251" spans="1:10" ht="16.5" thickBot="1" x14ac:dyDescent="0.3">
      <c r="A251" s="650"/>
      <c r="B251" s="531"/>
      <c r="C251" s="686">
        <f>SUM(C246:C250)</f>
        <v>8</v>
      </c>
      <c r="I251" s="645"/>
      <c r="J251" s="645"/>
    </row>
    <row r="252" spans="1:10" x14ac:dyDescent="0.2">
      <c r="A252" s="650"/>
      <c r="B252" s="531"/>
      <c r="C252" s="664"/>
      <c r="I252" s="645"/>
      <c r="J252" s="645"/>
    </row>
    <row r="253" spans="1:10" ht="15.75" x14ac:dyDescent="0.25">
      <c r="A253" s="650"/>
      <c r="D253" s="662" t="s">
        <v>2595</v>
      </c>
      <c r="I253" s="645"/>
      <c r="J253" s="645"/>
    </row>
    <row r="254" spans="1:10" x14ac:dyDescent="0.2">
      <c r="A254" s="650"/>
      <c r="B254" s="647">
        <v>9</v>
      </c>
      <c r="C254" s="655">
        <v>1</v>
      </c>
      <c r="D254" s="654" t="s">
        <v>2596</v>
      </c>
      <c r="E254" s="656" t="s">
        <v>1430</v>
      </c>
      <c r="I254" s="645"/>
      <c r="J254" s="645"/>
    </row>
    <row r="255" spans="1:10" x14ac:dyDescent="0.2">
      <c r="A255" s="650"/>
      <c r="B255" s="647">
        <v>8</v>
      </c>
      <c r="C255" s="655">
        <v>1</v>
      </c>
      <c r="D255" s="654" t="s">
        <v>2597</v>
      </c>
      <c r="E255" s="656" t="s">
        <v>2541</v>
      </c>
      <c r="I255" s="645"/>
      <c r="J255" s="645"/>
    </row>
    <row r="256" spans="1:10" x14ac:dyDescent="0.2">
      <c r="A256" s="650"/>
      <c r="B256" s="647">
        <v>6</v>
      </c>
      <c r="C256" s="655">
        <v>2</v>
      </c>
      <c r="D256" s="654" t="s">
        <v>2598</v>
      </c>
      <c r="E256" s="656" t="s">
        <v>2566</v>
      </c>
      <c r="I256" s="645"/>
      <c r="J256" s="645"/>
    </row>
    <row r="257" spans="1:10" x14ac:dyDescent="0.2">
      <c r="A257" s="650"/>
      <c r="B257" s="647">
        <v>5</v>
      </c>
      <c r="C257" s="655">
        <v>2</v>
      </c>
      <c r="D257" s="654" t="s">
        <v>2599</v>
      </c>
      <c r="E257" s="656" t="s">
        <v>2545</v>
      </c>
      <c r="I257" s="645"/>
      <c r="J257" s="645"/>
    </row>
    <row r="258" spans="1:10" x14ac:dyDescent="0.2">
      <c r="A258" s="650">
        <v>376</v>
      </c>
      <c r="B258" s="647">
        <v>4</v>
      </c>
      <c r="C258" s="655">
        <v>5</v>
      </c>
      <c r="D258" s="654" t="s">
        <v>2600</v>
      </c>
      <c r="E258" s="656" t="s">
        <v>2495</v>
      </c>
      <c r="I258" s="645"/>
      <c r="J258" s="645"/>
    </row>
    <row r="259" spans="1:10" x14ac:dyDescent="0.2">
      <c r="A259" s="650">
        <v>380</v>
      </c>
      <c r="B259" s="647">
        <v>3</v>
      </c>
      <c r="C259" s="655">
        <v>1</v>
      </c>
      <c r="D259" s="654" t="s">
        <v>2601</v>
      </c>
      <c r="E259" s="656" t="s">
        <v>2549</v>
      </c>
      <c r="I259" s="645"/>
      <c r="J259" s="645"/>
    </row>
    <row r="260" spans="1:10" x14ac:dyDescent="0.2">
      <c r="A260" s="650">
        <v>384</v>
      </c>
      <c r="B260" s="647">
        <v>4</v>
      </c>
      <c r="C260" s="655">
        <v>1</v>
      </c>
      <c r="D260" s="654" t="s">
        <v>2456</v>
      </c>
      <c r="E260" s="656" t="s">
        <v>1432</v>
      </c>
      <c r="I260" s="645"/>
      <c r="J260" s="645"/>
    </row>
    <row r="261" spans="1:10" x14ac:dyDescent="0.2">
      <c r="A261" s="650">
        <v>386</v>
      </c>
      <c r="B261" s="647">
        <v>3</v>
      </c>
      <c r="C261" s="655">
        <v>1</v>
      </c>
      <c r="D261" s="654" t="s">
        <v>2470</v>
      </c>
      <c r="E261" s="656" t="s">
        <v>2471</v>
      </c>
      <c r="I261" s="645"/>
      <c r="J261" s="645"/>
    </row>
    <row r="262" spans="1:10" ht="16.5" thickBot="1" x14ac:dyDescent="0.3">
      <c r="A262" s="531">
        <v>388</v>
      </c>
      <c r="C262" s="687">
        <f>SUM(C254:C261)</f>
        <v>14</v>
      </c>
      <c r="I262" s="645"/>
      <c r="J262" s="645"/>
    </row>
    <row r="263" spans="1:10" ht="15.75" x14ac:dyDescent="0.25">
      <c r="A263" s="531">
        <v>390</v>
      </c>
      <c r="C263" s="665"/>
      <c r="I263" s="645"/>
      <c r="J263" s="645"/>
    </row>
    <row r="264" spans="1:10" x14ac:dyDescent="0.2">
      <c r="A264" s="650">
        <v>392</v>
      </c>
      <c r="B264" s="531"/>
      <c r="C264" s="531"/>
      <c r="D264" s="531"/>
      <c r="E264" s="531"/>
      <c r="I264" s="645"/>
      <c r="J264" s="645"/>
    </row>
    <row r="265" spans="1:10" ht="15.75" x14ac:dyDescent="0.25">
      <c r="A265" s="531">
        <v>394</v>
      </c>
      <c r="D265" s="688" t="s">
        <v>2602</v>
      </c>
      <c r="I265" s="645"/>
      <c r="J265" s="645"/>
    </row>
    <row r="266" spans="1:10" x14ac:dyDescent="0.2">
      <c r="A266" s="650">
        <v>396</v>
      </c>
      <c r="B266" s="646">
        <v>9</v>
      </c>
      <c r="C266" s="655">
        <v>1</v>
      </c>
      <c r="D266" s="656" t="s">
        <v>2603</v>
      </c>
      <c r="E266" s="656" t="s">
        <v>1945</v>
      </c>
      <c r="I266" s="645"/>
      <c r="J266" s="645"/>
    </row>
    <row r="267" spans="1:10" x14ac:dyDescent="0.2">
      <c r="A267" s="650">
        <v>398</v>
      </c>
      <c r="B267" s="646">
        <v>9</v>
      </c>
      <c r="C267" s="655">
        <v>2</v>
      </c>
      <c r="D267" s="656" t="s">
        <v>2604</v>
      </c>
      <c r="E267" s="656" t="s">
        <v>1946</v>
      </c>
      <c r="I267" s="645"/>
      <c r="J267" s="645"/>
    </row>
    <row r="268" spans="1:10" x14ac:dyDescent="0.2">
      <c r="A268" s="650">
        <v>400</v>
      </c>
      <c r="B268" s="646">
        <v>7</v>
      </c>
      <c r="C268" s="655">
        <v>2</v>
      </c>
      <c r="D268" s="656" t="s">
        <v>2605</v>
      </c>
      <c r="E268" s="656" t="s">
        <v>2439</v>
      </c>
      <c r="I268" s="645"/>
      <c r="J268" s="645"/>
    </row>
    <row r="269" spans="1:10" x14ac:dyDescent="0.2">
      <c r="A269" s="650">
        <v>420</v>
      </c>
      <c r="B269" s="646">
        <v>6</v>
      </c>
      <c r="C269" s="655">
        <v>1</v>
      </c>
      <c r="D269" s="656" t="s">
        <v>2606</v>
      </c>
      <c r="E269" s="656" t="s">
        <v>2545</v>
      </c>
      <c r="I269" s="645"/>
      <c r="J269" s="645"/>
    </row>
    <row r="270" spans="1:10" x14ac:dyDescent="0.2">
      <c r="A270" s="650">
        <v>422</v>
      </c>
      <c r="B270" s="646">
        <v>6</v>
      </c>
      <c r="C270" s="655">
        <v>1</v>
      </c>
      <c r="D270" s="656" t="s">
        <v>2607</v>
      </c>
      <c r="E270" s="656" t="s">
        <v>1431</v>
      </c>
      <c r="I270" s="645"/>
      <c r="J270" s="645"/>
    </row>
    <row r="271" spans="1:10" x14ac:dyDescent="0.2">
      <c r="A271" s="650">
        <v>426</v>
      </c>
      <c r="B271" s="646">
        <v>6</v>
      </c>
      <c r="C271" s="655">
        <v>1</v>
      </c>
      <c r="D271" s="656" t="s">
        <v>2492</v>
      </c>
      <c r="E271" s="656" t="s">
        <v>2608</v>
      </c>
      <c r="I271" s="645"/>
      <c r="J271" s="645"/>
    </row>
    <row r="272" spans="1:10" x14ac:dyDescent="0.2">
      <c r="A272" s="650">
        <v>428</v>
      </c>
      <c r="B272" s="646">
        <v>5</v>
      </c>
      <c r="C272" s="655">
        <v>1</v>
      </c>
      <c r="D272" s="656" t="s">
        <v>2609</v>
      </c>
      <c r="E272" s="656" t="s">
        <v>2455</v>
      </c>
      <c r="I272" s="645"/>
      <c r="J272" s="645"/>
    </row>
    <row r="273" spans="1:10" x14ac:dyDescent="0.2">
      <c r="A273" s="650"/>
      <c r="B273" s="646">
        <v>5</v>
      </c>
      <c r="C273" s="655">
        <v>2</v>
      </c>
      <c r="D273" s="656" t="s">
        <v>2610</v>
      </c>
      <c r="E273" s="656" t="s">
        <v>2455</v>
      </c>
      <c r="I273" s="645"/>
      <c r="J273" s="645"/>
    </row>
    <row r="274" spans="1:10" x14ac:dyDescent="0.2">
      <c r="A274" s="650"/>
      <c r="B274" s="646">
        <v>4</v>
      </c>
      <c r="C274" s="655">
        <v>2</v>
      </c>
      <c r="D274" s="656" t="s">
        <v>2611</v>
      </c>
      <c r="E274" s="656" t="s">
        <v>1432</v>
      </c>
      <c r="I274" s="645"/>
      <c r="J274" s="645"/>
    </row>
    <row r="275" spans="1:10" x14ac:dyDescent="0.2">
      <c r="A275" s="650">
        <v>430</v>
      </c>
      <c r="B275" s="646">
        <v>6</v>
      </c>
      <c r="C275" s="655">
        <v>4</v>
      </c>
      <c r="D275" s="656" t="s">
        <v>2612</v>
      </c>
      <c r="E275" s="656" t="s">
        <v>2441</v>
      </c>
      <c r="I275" s="645"/>
      <c r="J275" s="645"/>
    </row>
    <row r="276" spans="1:10" x14ac:dyDescent="0.2">
      <c r="A276" s="650">
        <v>434</v>
      </c>
      <c r="B276" s="646">
        <v>6</v>
      </c>
      <c r="C276" s="655">
        <v>4</v>
      </c>
      <c r="D276" s="656" t="s">
        <v>2613</v>
      </c>
      <c r="E276" s="656" t="s">
        <v>2455</v>
      </c>
      <c r="I276" s="645"/>
      <c r="J276" s="645"/>
    </row>
    <row r="277" spans="1:10" x14ac:dyDescent="0.2">
      <c r="A277" s="650">
        <v>440</v>
      </c>
      <c r="B277" s="646">
        <v>4</v>
      </c>
      <c r="C277" s="655">
        <v>6</v>
      </c>
      <c r="D277" s="656" t="s">
        <v>2614</v>
      </c>
      <c r="E277" s="656" t="s">
        <v>1432</v>
      </c>
      <c r="I277" s="645"/>
      <c r="J277" s="645"/>
    </row>
    <row r="278" spans="1:10" x14ac:dyDescent="0.2">
      <c r="A278" s="650"/>
      <c r="B278" s="646">
        <v>3</v>
      </c>
      <c r="C278" s="655">
        <v>3</v>
      </c>
      <c r="D278" s="656" t="s">
        <v>2615</v>
      </c>
      <c r="E278" s="656" t="s">
        <v>2616</v>
      </c>
      <c r="I278" s="645"/>
      <c r="J278" s="645"/>
    </row>
    <row r="279" spans="1:10" x14ac:dyDescent="0.2">
      <c r="A279" s="650"/>
      <c r="B279" s="646">
        <v>3</v>
      </c>
      <c r="C279" s="655">
        <v>1</v>
      </c>
      <c r="D279" s="656" t="s">
        <v>2617</v>
      </c>
      <c r="E279" s="656" t="s">
        <v>2616</v>
      </c>
      <c r="I279" s="645"/>
      <c r="J279" s="645"/>
    </row>
    <row r="280" spans="1:10" x14ac:dyDescent="0.2">
      <c r="A280" s="650"/>
      <c r="B280" s="646">
        <v>5</v>
      </c>
      <c r="C280" s="655">
        <v>1</v>
      </c>
      <c r="D280" s="656" t="s">
        <v>2618</v>
      </c>
      <c r="E280" s="656" t="s">
        <v>2455</v>
      </c>
      <c r="I280" s="645"/>
      <c r="J280" s="645"/>
    </row>
    <row r="281" spans="1:10" x14ac:dyDescent="0.2">
      <c r="A281" s="650">
        <v>444</v>
      </c>
      <c r="B281" s="646">
        <v>4</v>
      </c>
      <c r="C281" s="655">
        <v>1</v>
      </c>
      <c r="D281" s="656" t="s">
        <v>2456</v>
      </c>
      <c r="E281" s="656" t="s">
        <v>1432</v>
      </c>
      <c r="I281" s="645"/>
      <c r="J281" s="645"/>
    </row>
    <row r="282" spans="1:10" x14ac:dyDescent="0.2">
      <c r="A282" s="650">
        <v>450</v>
      </c>
      <c r="B282" s="646">
        <v>4</v>
      </c>
      <c r="C282" s="655">
        <v>1</v>
      </c>
      <c r="D282" s="656" t="s">
        <v>2619</v>
      </c>
      <c r="E282" s="656" t="s">
        <v>1432</v>
      </c>
      <c r="I282" s="645"/>
      <c r="J282" s="645"/>
    </row>
    <row r="283" spans="1:10" x14ac:dyDescent="0.2">
      <c r="A283" s="650"/>
      <c r="B283" s="646">
        <v>3</v>
      </c>
      <c r="C283" s="655">
        <v>2</v>
      </c>
      <c r="D283" s="656" t="s">
        <v>2620</v>
      </c>
      <c r="E283" s="656" t="s">
        <v>2458</v>
      </c>
      <c r="I283" s="645"/>
      <c r="J283" s="645"/>
    </row>
    <row r="284" spans="1:10" x14ac:dyDescent="0.2">
      <c r="A284" s="650"/>
      <c r="B284" s="646">
        <v>1</v>
      </c>
      <c r="C284" s="655">
        <v>1</v>
      </c>
      <c r="D284" s="656" t="s">
        <v>2621</v>
      </c>
      <c r="E284" s="656" t="s">
        <v>2471</v>
      </c>
      <c r="I284" s="645"/>
      <c r="J284" s="645"/>
    </row>
    <row r="285" spans="1:10" x14ac:dyDescent="0.2">
      <c r="A285" s="650"/>
      <c r="B285" s="646">
        <v>1</v>
      </c>
      <c r="C285" s="655">
        <v>2</v>
      </c>
      <c r="D285" s="656" t="s">
        <v>2622</v>
      </c>
      <c r="E285" s="656" t="s">
        <v>2471</v>
      </c>
      <c r="I285" s="645"/>
      <c r="J285" s="645"/>
    </row>
    <row r="286" spans="1:10" x14ac:dyDescent="0.2">
      <c r="A286" s="650"/>
      <c r="B286" s="646">
        <v>3</v>
      </c>
      <c r="C286" s="655">
        <v>3</v>
      </c>
      <c r="D286" s="656" t="s">
        <v>2623</v>
      </c>
      <c r="E286" s="656" t="s">
        <v>2458</v>
      </c>
      <c r="I286" s="645"/>
      <c r="J286" s="645"/>
    </row>
    <row r="287" spans="1:10" x14ac:dyDescent="0.2">
      <c r="A287" s="650"/>
      <c r="B287" s="646">
        <v>3</v>
      </c>
      <c r="C287" s="655">
        <v>2</v>
      </c>
      <c r="D287" s="656" t="s">
        <v>2624</v>
      </c>
      <c r="E287" s="656" t="s">
        <v>2458</v>
      </c>
      <c r="I287" s="645"/>
      <c r="J287" s="645"/>
    </row>
    <row r="288" spans="1:10" x14ac:dyDescent="0.2">
      <c r="A288" s="650">
        <v>452</v>
      </c>
      <c r="B288" s="646">
        <v>5</v>
      </c>
      <c r="C288" s="655">
        <v>1</v>
      </c>
      <c r="D288" s="656" t="s">
        <v>2478</v>
      </c>
      <c r="E288" s="656" t="s">
        <v>1968</v>
      </c>
      <c r="I288" s="645"/>
      <c r="J288" s="645"/>
    </row>
    <row r="289" spans="1:10" ht="16.5" thickBot="1" x14ac:dyDescent="0.3">
      <c r="A289" s="650"/>
      <c r="C289" s="641">
        <f>SUM(C266:C288)</f>
        <v>45</v>
      </c>
      <c r="I289" s="645"/>
      <c r="J289" s="645"/>
    </row>
    <row r="290" spans="1:10" ht="15.75" x14ac:dyDescent="0.25">
      <c r="A290" s="650"/>
      <c r="C290" s="664"/>
      <c r="D290" s="662"/>
      <c r="I290" s="645"/>
      <c r="J290" s="645"/>
    </row>
    <row r="291" spans="1:10" ht="15.75" x14ac:dyDescent="0.25">
      <c r="A291" s="531">
        <v>472</v>
      </c>
      <c r="C291" s="666"/>
      <c r="D291" s="675" t="s">
        <v>2625</v>
      </c>
      <c r="I291" s="645"/>
      <c r="J291" s="645"/>
    </row>
    <row r="292" spans="1:10" x14ac:dyDescent="0.2">
      <c r="A292" s="650">
        <v>484</v>
      </c>
      <c r="B292" s="646">
        <v>9</v>
      </c>
      <c r="C292" s="655">
        <v>1</v>
      </c>
      <c r="D292" s="656" t="s">
        <v>2518</v>
      </c>
      <c r="E292" s="656" t="s">
        <v>2626</v>
      </c>
      <c r="I292" s="645"/>
      <c r="J292" s="645"/>
    </row>
    <row r="293" spans="1:10" x14ac:dyDescent="0.2">
      <c r="A293" s="650">
        <v>486</v>
      </c>
      <c r="B293" s="646">
        <v>6</v>
      </c>
      <c r="C293" s="655">
        <v>1</v>
      </c>
      <c r="D293" s="656" t="s">
        <v>2453</v>
      </c>
      <c r="E293" s="656" t="s">
        <v>1431</v>
      </c>
      <c r="I293" s="645"/>
      <c r="J293" s="645"/>
    </row>
    <row r="294" spans="1:10" x14ac:dyDescent="0.2">
      <c r="A294" s="650"/>
      <c r="B294" s="646">
        <v>5</v>
      </c>
      <c r="C294" s="655">
        <v>1</v>
      </c>
      <c r="D294" s="656" t="s">
        <v>2454</v>
      </c>
      <c r="E294" s="656" t="s">
        <v>2455</v>
      </c>
      <c r="I294" s="645"/>
      <c r="J294" s="645"/>
    </row>
    <row r="295" spans="1:10" x14ac:dyDescent="0.2">
      <c r="A295" s="650"/>
      <c r="B295" s="646">
        <v>3</v>
      </c>
      <c r="C295" s="655">
        <v>5</v>
      </c>
      <c r="D295" s="656" t="s">
        <v>2457</v>
      </c>
      <c r="E295" s="656" t="s">
        <v>2458</v>
      </c>
      <c r="I295" s="645"/>
      <c r="J295" s="645"/>
    </row>
    <row r="296" spans="1:10" x14ac:dyDescent="0.2">
      <c r="A296" s="650"/>
      <c r="B296" s="646">
        <v>2</v>
      </c>
      <c r="C296" s="655">
        <v>1</v>
      </c>
      <c r="D296" s="656" t="s">
        <v>2627</v>
      </c>
      <c r="E296" s="656" t="s">
        <v>2628</v>
      </c>
      <c r="I296" s="645"/>
      <c r="J296" s="645"/>
    </row>
    <row r="297" spans="1:10" x14ac:dyDescent="0.2">
      <c r="A297" s="650"/>
      <c r="B297" s="646">
        <v>3</v>
      </c>
      <c r="C297" s="655">
        <v>1</v>
      </c>
      <c r="D297" s="656" t="s">
        <v>2470</v>
      </c>
      <c r="E297" s="656" t="s">
        <v>2471</v>
      </c>
      <c r="I297" s="645"/>
      <c r="J297" s="645"/>
    </row>
    <row r="298" spans="1:10" ht="15.75" x14ac:dyDescent="0.25">
      <c r="A298" s="650"/>
      <c r="C298" s="641">
        <f>SUM(C292:C297)</f>
        <v>10</v>
      </c>
      <c r="D298" s="662"/>
      <c r="I298" s="645"/>
      <c r="J298" s="645"/>
    </row>
    <row r="299" spans="1:10" ht="15.75" x14ac:dyDescent="0.25">
      <c r="A299" s="650"/>
      <c r="C299" s="665"/>
      <c r="D299" s="662"/>
      <c r="I299" s="645"/>
      <c r="J299" s="645"/>
    </row>
    <row r="300" spans="1:10" ht="15.75" x14ac:dyDescent="0.25">
      <c r="A300" s="650"/>
      <c r="C300" s="666"/>
      <c r="D300" s="675" t="s">
        <v>2629</v>
      </c>
      <c r="I300" s="645"/>
      <c r="J300" s="645"/>
    </row>
    <row r="301" spans="1:10" x14ac:dyDescent="0.2">
      <c r="A301" s="650"/>
      <c r="B301" s="646">
        <v>9</v>
      </c>
      <c r="C301" s="655">
        <v>1</v>
      </c>
      <c r="D301" s="656" t="s">
        <v>2630</v>
      </c>
      <c r="E301" s="656" t="s">
        <v>1430</v>
      </c>
      <c r="I301" s="645"/>
      <c r="J301" s="645"/>
    </row>
    <row r="302" spans="1:10" x14ac:dyDescent="0.2">
      <c r="A302" s="650">
        <v>486</v>
      </c>
      <c r="B302" s="646">
        <v>6</v>
      </c>
      <c r="C302" s="655">
        <v>2</v>
      </c>
      <c r="D302" s="656" t="s">
        <v>2492</v>
      </c>
      <c r="E302" s="656" t="s">
        <v>2566</v>
      </c>
      <c r="I302" s="645"/>
      <c r="J302" s="645"/>
    </row>
    <row r="303" spans="1:10" x14ac:dyDescent="0.2">
      <c r="A303" s="650"/>
      <c r="B303" s="646">
        <v>5</v>
      </c>
      <c r="C303" s="655">
        <v>4</v>
      </c>
      <c r="D303" s="656" t="s">
        <v>2631</v>
      </c>
      <c r="E303" s="656" t="s">
        <v>2455</v>
      </c>
      <c r="I303" s="645"/>
      <c r="J303" s="645"/>
    </row>
    <row r="304" spans="1:10" ht="15.75" x14ac:dyDescent="0.25">
      <c r="C304" s="641">
        <f>SUM(C301:C303)</f>
        <v>7</v>
      </c>
      <c r="D304" s="662"/>
      <c r="I304" s="645"/>
      <c r="J304" s="645"/>
    </row>
    <row r="305" spans="1:10" ht="15.75" x14ac:dyDescent="0.25">
      <c r="C305" s="665"/>
      <c r="D305" s="662"/>
      <c r="I305" s="645"/>
      <c r="J305" s="645"/>
    </row>
    <row r="306" spans="1:10" ht="15.75" x14ac:dyDescent="0.25">
      <c r="A306" s="531">
        <v>290</v>
      </c>
      <c r="C306" s="665"/>
      <c r="D306" s="662"/>
      <c r="I306" s="645"/>
      <c r="J306" s="645"/>
    </row>
    <row r="307" spans="1:10" ht="15.75" x14ac:dyDescent="0.25">
      <c r="A307" s="650"/>
      <c r="C307" s="666"/>
      <c r="D307" s="669" t="s">
        <v>2632</v>
      </c>
      <c r="E307" s="669"/>
      <c r="I307" s="645"/>
      <c r="J307" s="645"/>
    </row>
    <row r="308" spans="1:10" ht="15.75" x14ac:dyDescent="0.25">
      <c r="A308" s="650"/>
      <c r="C308" s="666"/>
      <c r="D308" s="669"/>
      <c r="E308" s="669"/>
      <c r="I308" s="645"/>
      <c r="J308" s="645"/>
    </row>
    <row r="309" spans="1:10" ht="15.75" x14ac:dyDescent="0.25">
      <c r="A309" s="650"/>
      <c r="D309" s="662" t="s">
        <v>2633</v>
      </c>
      <c r="I309" s="645"/>
      <c r="J309" s="645"/>
    </row>
    <row r="310" spans="1:10" x14ac:dyDescent="0.2">
      <c r="A310" s="650"/>
      <c r="C310" s="655">
        <v>1</v>
      </c>
      <c r="D310" s="656" t="s">
        <v>2634</v>
      </c>
      <c r="E310" s="656"/>
      <c r="I310" s="645"/>
      <c r="J310" s="645"/>
    </row>
    <row r="311" spans="1:10" x14ac:dyDescent="0.2">
      <c r="A311" s="650"/>
      <c r="B311" s="646">
        <v>10</v>
      </c>
      <c r="C311" s="655">
        <v>1</v>
      </c>
      <c r="D311" s="656" t="s">
        <v>821</v>
      </c>
      <c r="E311" s="656" t="s">
        <v>1945</v>
      </c>
      <c r="I311" s="645"/>
      <c r="J311" s="645"/>
    </row>
    <row r="312" spans="1:10" x14ac:dyDescent="0.2">
      <c r="A312" s="650"/>
      <c r="B312" s="646">
        <v>7</v>
      </c>
      <c r="C312" s="655">
        <v>0</v>
      </c>
      <c r="D312" s="656" t="s">
        <v>2508</v>
      </c>
      <c r="E312" s="656" t="s">
        <v>2635</v>
      </c>
      <c r="I312" s="645"/>
      <c r="J312" s="645"/>
    </row>
    <row r="313" spans="1:10" x14ac:dyDescent="0.2">
      <c r="A313" s="650"/>
      <c r="B313" s="646">
        <v>6</v>
      </c>
      <c r="C313" s="655">
        <v>1</v>
      </c>
      <c r="D313" s="656" t="s">
        <v>2453</v>
      </c>
      <c r="E313" s="656" t="s">
        <v>1431</v>
      </c>
      <c r="I313" s="645"/>
      <c r="J313" s="645"/>
    </row>
    <row r="314" spans="1:10" x14ac:dyDescent="0.2">
      <c r="A314" s="650"/>
      <c r="B314" s="646">
        <v>6</v>
      </c>
      <c r="C314" s="655">
        <v>1</v>
      </c>
      <c r="D314" s="656" t="s">
        <v>2636</v>
      </c>
      <c r="E314" s="656" t="s">
        <v>1431</v>
      </c>
      <c r="I314" s="645"/>
      <c r="J314" s="645"/>
    </row>
    <row r="315" spans="1:10" x14ac:dyDescent="0.2">
      <c r="A315" s="650"/>
      <c r="B315" s="646">
        <v>5</v>
      </c>
      <c r="C315" s="655">
        <v>1</v>
      </c>
      <c r="D315" s="656" t="s">
        <v>2637</v>
      </c>
      <c r="E315" s="656" t="s">
        <v>2455</v>
      </c>
      <c r="I315" s="645"/>
      <c r="J315" s="645"/>
    </row>
    <row r="316" spans="1:10" x14ac:dyDescent="0.2">
      <c r="A316" s="650"/>
      <c r="B316" s="646">
        <v>5</v>
      </c>
      <c r="C316" s="655">
        <v>1</v>
      </c>
      <c r="D316" s="656" t="s">
        <v>2454</v>
      </c>
      <c r="E316" s="656" t="s">
        <v>2455</v>
      </c>
      <c r="I316" s="645"/>
      <c r="J316" s="645"/>
    </row>
    <row r="317" spans="1:10" x14ac:dyDescent="0.2">
      <c r="A317" s="650"/>
      <c r="B317" s="646">
        <v>4</v>
      </c>
      <c r="C317" s="655">
        <v>1</v>
      </c>
      <c r="D317" s="656" t="s">
        <v>2456</v>
      </c>
      <c r="E317" s="656" t="s">
        <v>1432</v>
      </c>
      <c r="I317" s="645"/>
      <c r="J317" s="645"/>
    </row>
    <row r="318" spans="1:10" x14ac:dyDescent="0.2">
      <c r="A318" s="650"/>
      <c r="B318" s="646">
        <v>3</v>
      </c>
      <c r="C318" s="655">
        <v>2</v>
      </c>
      <c r="D318" s="656" t="s">
        <v>2457</v>
      </c>
      <c r="E318" s="656" t="s">
        <v>2458</v>
      </c>
      <c r="I318" s="645"/>
      <c r="J318" s="645"/>
    </row>
    <row r="319" spans="1:10" x14ac:dyDescent="0.2">
      <c r="A319" s="650"/>
      <c r="B319" s="646">
        <v>3</v>
      </c>
      <c r="C319" s="655">
        <v>3</v>
      </c>
      <c r="D319" s="656" t="s">
        <v>2638</v>
      </c>
      <c r="E319" s="656" t="s">
        <v>2639</v>
      </c>
      <c r="I319" s="645"/>
      <c r="J319" s="645"/>
    </row>
    <row r="320" spans="1:10" ht="16.5" thickBot="1" x14ac:dyDescent="0.3">
      <c r="A320" s="650"/>
      <c r="C320" s="641">
        <f>SUM(C310:C319)</f>
        <v>12</v>
      </c>
      <c r="G320" s="645"/>
      <c r="H320" s="645"/>
      <c r="I320" s="645"/>
      <c r="J320" s="645"/>
    </row>
    <row r="321" spans="1:10" ht="15.75" x14ac:dyDescent="0.25">
      <c r="A321" s="650"/>
      <c r="C321" s="664"/>
      <c r="D321" s="689" t="s">
        <v>9</v>
      </c>
      <c r="G321" s="645"/>
      <c r="H321" s="645"/>
      <c r="I321" s="645"/>
      <c r="J321" s="645"/>
    </row>
    <row r="322" spans="1:10" ht="16.5" thickBot="1" x14ac:dyDescent="0.3">
      <c r="A322" s="650"/>
      <c r="C322" s="641">
        <v>1</v>
      </c>
      <c r="D322" s="656" t="s">
        <v>2638</v>
      </c>
      <c r="G322" s="645"/>
      <c r="H322" s="645"/>
      <c r="I322" s="645"/>
      <c r="J322" s="645"/>
    </row>
    <row r="323" spans="1:10" ht="15.75" x14ac:dyDescent="0.25">
      <c r="A323" s="650"/>
      <c r="C323" s="664"/>
      <c r="D323" s="662"/>
      <c r="G323" s="645"/>
      <c r="H323" s="645"/>
      <c r="I323" s="645"/>
      <c r="J323" s="645"/>
    </row>
    <row r="324" spans="1:10" ht="15.75" x14ac:dyDescent="0.25">
      <c r="A324" s="650"/>
      <c r="C324" s="666"/>
      <c r="D324" s="662"/>
      <c r="G324" s="645"/>
      <c r="H324" s="645"/>
      <c r="I324" s="645"/>
      <c r="J324" s="645"/>
    </row>
    <row r="325" spans="1:10" ht="15.75" x14ac:dyDescent="0.25">
      <c r="A325" s="650"/>
      <c r="C325" s="666"/>
      <c r="D325" s="662" t="s">
        <v>2640</v>
      </c>
      <c r="G325" s="645"/>
      <c r="H325" s="645"/>
      <c r="I325" s="645"/>
      <c r="J325" s="645"/>
    </row>
    <row r="326" spans="1:10" x14ac:dyDescent="0.2">
      <c r="B326" s="646">
        <v>9</v>
      </c>
      <c r="C326" s="655">
        <v>1</v>
      </c>
      <c r="D326" s="656" t="s">
        <v>2518</v>
      </c>
      <c r="E326" s="656" t="s">
        <v>1430</v>
      </c>
      <c r="F326" s="589"/>
      <c r="G326" s="645"/>
      <c r="H326" s="645"/>
      <c r="I326" s="645"/>
      <c r="J326" s="645"/>
    </row>
    <row r="327" spans="1:10" x14ac:dyDescent="0.2">
      <c r="B327" s="646">
        <v>9</v>
      </c>
      <c r="C327" s="655">
        <v>1</v>
      </c>
      <c r="D327" s="656" t="s">
        <v>2641</v>
      </c>
      <c r="E327" s="656" t="s">
        <v>2464</v>
      </c>
      <c r="F327" s="589"/>
      <c r="G327" s="645"/>
      <c r="H327" s="645"/>
      <c r="I327" s="645"/>
      <c r="J327" s="645"/>
    </row>
    <row r="328" spans="1:10" x14ac:dyDescent="0.2">
      <c r="B328" s="646">
        <v>7</v>
      </c>
      <c r="C328" s="655">
        <v>1</v>
      </c>
      <c r="D328" s="656" t="s">
        <v>2642</v>
      </c>
      <c r="E328" s="656" t="s">
        <v>2643</v>
      </c>
      <c r="F328" s="589"/>
      <c r="G328" s="645"/>
      <c r="H328" s="645"/>
      <c r="I328" s="645"/>
      <c r="J328" s="645"/>
    </row>
    <row r="329" spans="1:10" x14ac:dyDescent="0.2">
      <c r="B329" s="646">
        <v>7</v>
      </c>
      <c r="C329" s="655">
        <v>1</v>
      </c>
      <c r="D329" s="656" t="s">
        <v>2644</v>
      </c>
      <c r="E329" s="656" t="s">
        <v>2439</v>
      </c>
      <c r="F329" s="589"/>
      <c r="G329" s="645"/>
      <c r="H329" s="645"/>
      <c r="I329" s="645"/>
      <c r="J329" s="645"/>
    </row>
    <row r="330" spans="1:10" x14ac:dyDescent="0.2">
      <c r="B330" s="646">
        <v>6</v>
      </c>
      <c r="C330" s="655">
        <v>1</v>
      </c>
      <c r="D330" s="656" t="s">
        <v>2645</v>
      </c>
      <c r="E330" s="656" t="s">
        <v>1431</v>
      </c>
      <c r="F330" s="589"/>
      <c r="G330" s="645"/>
      <c r="H330" s="645"/>
      <c r="I330" s="645"/>
      <c r="J330" s="645"/>
    </row>
    <row r="331" spans="1:10" x14ac:dyDescent="0.2">
      <c r="B331" s="646">
        <v>6</v>
      </c>
      <c r="C331" s="655">
        <v>1</v>
      </c>
      <c r="D331" s="656" t="s">
        <v>2646</v>
      </c>
      <c r="E331" s="656" t="s">
        <v>1431</v>
      </c>
      <c r="F331" s="589"/>
      <c r="G331" s="645"/>
      <c r="H331" s="645"/>
      <c r="I331" s="645"/>
      <c r="J331" s="645"/>
    </row>
    <row r="332" spans="1:10" x14ac:dyDescent="0.2">
      <c r="B332" s="646">
        <v>6</v>
      </c>
      <c r="C332" s="655">
        <v>2</v>
      </c>
      <c r="D332" s="656" t="s">
        <v>2647</v>
      </c>
      <c r="E332" s="656" t="s">
        <v>1431</v>
      </c>
      <c r="F332" s="589"/>
      <c r="G332" s="645"/>
      <c r="H332" s="645"/>
      <c r="I332" s="645"/>
      <c r="J332" s="645"/>
    </row>
    <row r="333" spans="1:10" x14ac:dyDescent="0.2">
      <c r="B333" s="646">
        <v>6</v>
      </c>
      <c r="C333" s="655">
        <v>1</v>
      </c>
      <c r="D333" s="656" t="s">
        <v>2648</v>
      </c>
      <c r="E333" s="656" t="s">
        <v>1431</v>
      </c>
      <c r="F333" s="589"/>
      <c r="G333" s="645"/>
      <c r="H333" s="645"/>
      <c r="I333" s="645"/>
      <c r="J333" s="645"/>
    </row>
    <row r="334" spans="1:10" x14ac:dyDescent="0.2">
      <c r="A334" s="531">
        <v>488</v>
      </c>
      <c r="B334" s="646">
        <v>5</v>
      </c>
      <c r="C334" s="655">
        <v>1</v>
      </c>
      <c r="D334" s="656" t="s">
        <v>2649</v>
      </c>
      <c r="E334" s="656" t="s">
        <v>2455</v>
      </c>
      <c r="F334" s="589"/>
      <c r="G334" s="645"/>
      <c r="H334" s="645"/>
      <c r="I334" s="645"/>
      <c r="J334" s="645"/>
    </row>
    <row r="335" spans="1:10" x14ac:dyDescent="0.2">
      <c r="A335" s="531">
        <v>490</v>
      </c>
      <c r="B335" s="646">
        <v>6</v>
      </c>
      <c r="C335" s="655">
        <v>1</v>
      </c>
      <c r="D335" s="656" t="s">
        <v>2650</v>
      </c>
      <c r="E335" s="656" t="s">
        <v>2651</v>
      </c>
      <c r="F335" s="589"/>
      <c r="G335" s="645"/>
      <c r="H335" s="645"/>
      <c r="I335" s="645"/>
      <c r="J335" s="645"/>
    </row>
    <row r="336" spans="1:10" x14ac:dyDescent="0.2">
      <c r="B336" s="646">
        <v>4</v>
      </c>
      <c r="C336" s="655">
        <v>1</v>
      </c>
      <c r="D336" s="656" t="s">
        <v>2652</v>
      </c>
      <c r="E336" s="656" t="s">
        <v>2653</v>
      </c>
      <c r="F336" s="589"/>
      <c r="G336" s="645"/>
      <c r="H336" s="645"/>
      <c r="I336" s="645"/>
      <c r="J336" s="645"/>
    </row>
    <row r="337" spans="1:10" x14ac:dyDescent="0.2">
      <c r="B337" s="646">
        <v>4</v>
      </c>
      <c r="C337" s="655">
        <v>1</v>
      </c>
      <c r="D337" s="656" t="s">
        <v>2654</v>
      </c>
      <c r="E337" s="656" t="s">
        <v>2653</v>
      </c>
      <c r="F337" s="589"/>
      <c r="G337" s="645"/>
      <c r="H337" s="645"/>
      <c r="I337" s="645"/>
      <c r="J337" s="645"/>
    </row>
    <row r="338" spans="1:10" x14ac:dyDescent="0.2">
      <c r="B338" s="646">
        <v>4</v>
      </c>
      <c r="C338" s="655">
        <v>1</v>
      </c>
      <c r="D338" s="656" t="s">
        <v>2456</v>
      </c>
      <c r="E338" s="656" t="s">
        <v>1432</v>
      </c>
      <c r="F338" s="589"/>
      <c r="G338" s="645"/>
      <c r="H338" s="645"/>
      <c r="I338" s="645"/>
      <c r="J338" s="645"/>
    </row>
    <row r="339" spans="1:10" x14ac:dyDescent="0.2">
      <c r="B339" s="646">
        <v>3</v>
      </c>
      <c r="C339" s="655">
        <v>1</v>
      </c>
      <c r="D339" s="656" t="s">
        <v>2457</v>
      </c>
      <c r="E339" s="656" t="s">
        <v>2458</v>
      </c>
      <c r="F339" s="589"/>
      <c r="G339" s="645"/>
      <c r="H339" s="645"/>
      <c r="I339" s="645"/>
      <c r="J339" s="645"/>
    </row>
    <row r="340" spans="1:10" x14ac:dyDescent="0.2">
      <c r="B340" s="646">
        <v>3</v>
      </c>
      <c r="C340" s="655">
        <v>4</v>
      </c>
      <c r="D340" s="656" t="s">
        <v>2655</v>
      </c>
      <c r="E340" s="656" t="s">
        <v>2458</v>
      </c>
      <c r="F340" s="589"/>
      <c r="G340" s="645"/>
      <c r="H340" s="645"/>
      <c r="I340" s="645"/>
      <c r="J340" s="645"/>
    </row>
    <row r="341" spans="1:10" x14ac:dyDescent="0.2">
      <c r="B341" s="646">
        <v>3</v>
      </c>
      <c r="C341" s="655">
        <v>2</v>
      </c>
      <c r="D341" s="656" t="s">
        <v>2656</v>
      </c>
      <c r="E341" s="656" t="s">
        <v>2458</v>
      </c>
      <c r="F341" s="589"/>
      <c r="G341" s="645"/>
      <c r="H341" s="645"/>
      <c r="I341" s="645"/>
      <c r="J341" s="645"/>
    </row>
    <row r="342" spans="1:10" x14ac:dyDescent="0.2">
      <c r="B342" s="646">
        <v>3</v>
      </c>
      <c r="C342" s="655">
        <v>1</v>
      </c>
      <c r="D342" s="656" t="s">
        <v>2657</v>
      </c>
      <c r="E342" s="656" t="s">
        <v>2458</v>
      </c>
      <c r="F342" s="589"/>
      <c r="G342" s="645"/>
      <c r="H342" s="645"/>
      <c r="I342" s="645"/>
      <c r="J342" s="645"/>
    </row>
    <row r="343" spans="1:10" x14ac:dyDescent="0.2">
      <c r="B343" s="646">
        <v>3</v>
      </c>
      <c r="C343" s="655">
        <v>1</v>
      </c>
      <c r="D343" s="656" t="s">
        <v>2658</v>
      </c>
      <c r="E343" s="656" t="s">
        <v>2639</v>
      </c>
      <c r="F343" s="589"/>
      <c r="G343" s="645"/>
      <c r="H343" s="645"/>
      <c r="I343" s="645"/>
      <c r="J343" s="645"/>
    </row>
    <row r="344" spans="1:10" x14ac:dyDescent="0.2">
      <c r="A344" s="531">
        <v>492</v>
      </c>
      <c r="B344" s="646">
        <v>1</v>
      </c>
      <c r="C344" s="655">
        <v>1</v>
      </c>
      <c r="D344" s="656" t="s">
        <v>2659</v>
      </c>
      <c r="E344" s="656" t="s">
        <v>2628</v>
      </c>
      <c r="F344" s="589"/>
      <c r="G344" s="645"/>
      <c r="H344" s="645"/>
      <c r="I344" s="645"/>
      <c r="J344" s="645"/>
    </row>
    <row r="345" spans="1:10" ht="15.75" x14ac:dyDescent="0.25">
      <c r="A345" s="531">
        <v>508</v>
      </c>
      <c r="B345" s="531"/>
      <c r="C345" s="641">
        <f>SUM(C326:C344)</f>
        <v>24</v>
      </c>
      <c r="F345" s="589"/>
      <c r="G345" s="645"/>
      <c r="H345" s="645"/>
      <c r="I345" s="645"/>
      <c r="J345" s="645"/>
    </row>
    <row r="346" spans="1:10" ht="15.75" x14ac:dyDescent="0.25">
      <c r="A346" s="650">
        <v>512</v>
      </c>
      <c r="C346" s="665"/>
      <c r="D346" s="669" t="s">
        <v>9</v>
      </c>
      <c r="F346" s="589"/>
      <c r="G346" s="645"/>
      <c r="H346" s="645"/>
      <c r="I346" s="645"/>
      <c r="J346" s="645"/>
    </row>
    <row r="347" spans="1:10" x14ac:dyDescent="0.2">
      <c r="A347" s="531">
        <v>526</v>
      </c>
      <c r="C347" s="655">
        <v>1</v>
      </c>
      <c r="D347" s="656" t="s">
        <v>2660</v>
      </c>
      <c r="G347" s="645"/>
      <c r="H347" s="645"/>
      <c r="I347" s="645"/>
      <c r="J347" s="645"/>
    </row>
    <row r="348" spans="1:10" ht="15.75" x14ac:dyDescent="0.25">
      <c r="A348" s="531">
        <v>534</v>
      </c>
      <c r="C348" s="641">
        <f>SUM(C347:C347)</f>
        <v>1</v>
      </c>
      <c r="G348" s="645"/>
      <c r="H348" s="645"/>
      <c r="I348" s="645"/>
      <c r="J348" s="645"/>
    </row>
    <row r="349" spans="1:10" x14ac:dyDescent="0.2">
      <c r="A349" s="650">
        <v>536</v>
      </c>
      <c r="C349" s="666"/>
      <c r="G349" s="645"/>
      <c r="H349" s="645"/>
      <c r="I349" s="645"/>
      <c r="J349" s="645"/>
    </row>
    <row r="350" spans="1:10" ht="15.75" x14ac:dyDescent="0.25">
      <c r="A350" s="531">
        <v>538</v>
      </c>
      <c r="D350" s="662" t="s">
        <v>2661</v>
      </c>
      <c r="G350" s="645"/>
      <c r="H350" s="645"/>
      <c r="I350" s="645"/>
      <c r="J350" s="645"/>
    </row>
    <row r="351" spans="1:10" x14ac:dyDescent="0.2">
      <c r="A351" s="531">
        <v>540</v>
      </c>
      <c r="B351" s="646">
        <v>9</v>
      </c>
      <c r="C351" s="655">
        <v>0</v>
      </c>
      <c r="D351" s="656" t="s">
        <v>2662</v>
      </c>
      <c r="E351" s="656" t="s">
        <v>1430</v>
      </c>
      <c r="G351" s="645"/>
      <c r="H351" s="645"/>
      <c r="I351" s="645"/>
      <c r="J351" s="645"/>
    </row>
    <row r="352" spans="1:10" x14ac:dyDescent="0.2">
      <c r="A352" s="531">
        <v>542</v>
      </c>
      <c r="B352" s="646">
        <v>9</v>
      </c>
      <c r="C352" s="655">
        <v>1</v>
      </c>
      <c r="D352" s="656" t="s">
        <v>2663</v>
      </c>
      <c r="E352" s="656" t="s">
        <v>1430</v>
      </c>
      <c r="G352" s="645"/>
      <c r="H352" s="645"/>
      <c r="I352" s="645"/>
      <c r="J352" s="645"/>
    </row>
    <row r="353" spans="1:10" x14ac:dyDescent="0.2">
      <c r="A353" s="531">
        <v>544</v>
      </c>
      <c r="B353" s="646">
        <v>7</v>
      </c>
      <c r="C353" s="655">
        <v>1</v>
      </c>
      <c r="D353" s="656" t="s">
        <v>2664</v>
      </c>
      <c r="E353" s="656" t="s">
        <v>2665</v>
      </c>
      <c r="G353" s="645"/>
      <c r="H353" s="645"/>
      <c r="I353" s="645"/>
      <c r="J353" s="645"/>
    </row>
    <row r="354" spans="1:10" x14ac:dyDescent="0.2">
      <c r="A354" s="531">
        <v>546</v>
      </c>
      <c r="B354" s="646">
        <v>6</v>
      </c>
      <c r="C354" s="655">
        <v>1</v>
      </c>
      <c r="D354" s="656" t="s">
        <v>2666</v>
      </c>
      <c r="E354" s="656" t="s">
        <v>1431</v>
      </c>
      <c r="G354" s="645"/>
      <c r="H354" s="645"/>
      <c r="I354" s="645"/>
      <c r="J354" s="645"/>
    </row>
    <row r="355" spans="1:10" x14ac:dyDescent="0.2">
      <c r="A355" s="531">
        <v>548</v>
      </c>
      <c r="B355" s="646">
        <v>6</v>
      </c>
      <c r="C355" s="655">
        <v>2</v>
      </c>
      <c r="D355" s="656" t="s">
        <v>2667</v>
      </c>
      <c r="E355" s="656" t="s">
        <v>1431</v>
      </c>
      <c r="G355" s="645"/>
      <c r="H355" s="645"/>
      <c r="I355" s="645"/>
      <c r="J355" s="645"/>
    </row>
    <row r="356" spans="1:10" x14ac:dyDescent="0.2">
      <c r="A356" s="531">
        <v>550</v>
      </c>
      <c r="B356" s="646">
        <v>6</v>
      </c>
      <c r="C356" s="655">
        <v>1</v>
      </c>
      <c r="D356" s="656" t="s">
        <v>2668</v>
      </c>
      <c r="E356" s="656" t="s">
        <v>2441</v>
      </c>
      <c r="G356" s="645"/>
      <c r="H356" s="645"/>
      <c r="I356" s="645"/>
      <c r="J356" s="645"/>
    </row>
    <row r="357" spans="1:10" x14ac:dyDescent="0.2">
      <c r="A357" s="531">
        <v>552</v>
      </c>
      <c r="B357" s="646">
        <v>5</v>
      </c>
      <c r="C357" s="655">
        <v>1</v>
      </c>
      <c r="D357" s="656" t="s">
        <v>2669</v>
      </c>
      <c r="E357" s="656" t="s">
        <v>2455</v>
      </c>
      <c r="G357" s="645"/>
      <c r="H357" s="645"/>
      <c r="I357" s="645"/>
      <c r="J357" s="645"/>
    </row>
    <row r="358" spans="1:10" x14ac:dyDescent="0.2">
      <c r="B358" s="646">
        <v>3</v>
      </c>
      <c r="C358" s="655">
        <v>3</v>
      </c>
      <c r="D358" s="656" t="s">
        <v>2670</v>
      </c>
      <c r="E358" s="656" t="s">
        <v>2458</v>
      </c>
      <c r="G358" s="645"/>
      <c r="H358" s="645"/>
      <c r="I358" s="645"/>
      <c r="J358" s="645"/>
    </row>
    <row r="359" spans="1:10" x14ac:dyDescent="0.2">
      <c r="B359" s="646">
        <v>3</v>
      </c>
      <c r="C359" s="655">
        <v>1</v>
      </c>
      <c r="D359" s="656" t="s">
        <v>2671</v>
      </c>
      <c r="E359" s="656" t="s">
        <v>2458</v>
      </c>
      <c r="G359" s="645"/>
      <c r="H359" s="645"/>
      <c r="I359" s="645"/>
      <c r="J359" s="645"/>
    </row>
    <row r="360" spans="1:10" x14ac:dyDescent="0.2">
      <c r="B360" s="646">
        <v>4</v>
      </c>
      <c r="C360" s="655">
        <v>1</v>
      </c>
      <c r="D360" s="656" t="s">
        <v>2456</v>
      </c>
      <c r="E360" s="656" t="s">
        <v>1432</v>
      </c>
      <c r="G360" s="645"/>
      <c r="H360" s="645"/>
      <c r="I360" s="645"/>
      <c r="J360" s="645"/>
    </row>
    <row r="361" spans="1:10" x14ac:dyDescent="0.2">
      <c r="B361" s="646">
        <v>3</v>
      </c>
      <c r="C361" s="655">
        <v>1</v>
      </c>
      <c r="D361" s="656" t="s">
        <v>2457</v>
      </c>
      <c r="E361" s="656" t="s">
        <v>2458</v>
      </c>
      <c r="G361" s="645"/>
      <c r="H361" s="645"/>
      <c r="I361" s="645"/>
      <c r="J361" s="645"/>
    </row>
    <row r="362" spans="1:10" x14ac:dyDescent="0.2">
      <c r="B362" s="646">
        <v>3</v>
      </c>
      <c r="C362" s="655">
        <v>1</v>
      </c>
      <c r="D362" s="656" t="s">
        <v>2672</v>
      </c>
      <c r="E362" s="656" t="s">
        <v>2458</v>
      </c>
      <c r="G362" s="645"/>
      <c r="H362" s="645"/>
      <c r="I362" s="645"/>
      <c r="J362" s="645"/>
    </row>
    <row r="363" spans="1:10" ht="15.75" x14ac:dyDescent="0.25">
      <c r="A363" s="531">
        <v>558</v>
      </c>
      <c r="C363" s="690">
        <f>SUM(C351:C362)</f>
        <v>14</v>
      </c>
      <c r="G363" s="645"/>
      <c r="H363" s="645"/>
      <c r="I363" s="645"/>
      <c r="J363" s="645"/>
    </row>
    <row r="364" spans="1:10" ht="15.75" x14ac:dyDescent="0.25">
      <c r="A364" s="531">
        <v>560</v>
      </c>
      <c r="C364" s="665"/>
      <c r="G364" s="645"/>
      <c r="H364" s="645"/>
      <c r="I364" s="645"/>
      <c r="J364" s="645"/>
    </row>
    <row r="365" spans="1:10" ht="15.75" x14ac:dyDescent="0.25">
      <c r="A365" s="650">
        <v>562</v>
      </c>
      <c r="C365" s="665"/>
      <c r="G365" s="645"/>
      <c r="H365" s="645"/>
      <c r="I365" s="645"/>
      <c r="J365" s="645"/>
    </row>
    <row r="366" spans="1:10" ht="15.75" x14ac:dyDescent="0.25">
      <c r="A366" s="531">
        <v>564</v>
      </c>
      <c r="C366" s="666"/>
      <c r="D366" s="662" t="s">
        <v>2673</v>
      </c>
      <c r="G366" s="645"/>
      <c r="H366" s="645"/>
      <c r="I366" s="645"/>
      <c r="J366" s="645"/>
    </row>
    <row r="367" spans="1:10" x14ac:dyDescent="0.2">
      <c r="A367" s="531">
        <v>566</v>
      </c>
      <c r="B367" s="646">
        <v>8</v>
      </c>
      <c r="C367" s="655">
        <v>1</v>
      </c>
      <c r="D367" s="656" t="s">
        <v>2674</v>
      </c>
      <c r="E367" s="656" t="s">
        <v>2475</v>
      </c>
      <c r="G367" s="645"/>
      <c r="H367" s="645"/>
      <c r="I367" s="645"/>
      <c r="J367" s="645"/>
    </row>
    <row r="368" spans="1:10" x14ac:dyDescent="0.2">
      <c r="A368" s="531">
        <v>572</v>
      </c>
      <c r="B368" s="646">
        <v>7</v>
      </c>
      <c r="C368" s="655">
        <v>1</v>
      </c>
      <c r="D368" s="656" t="s">
        <v>2675</v>
      </c>
      <c r="E368" s="656" t="s">
        <v>2439</v>
      </c>
      <c r="G368" s="645"/>
      <c r="H368" s="645"/>
      <c r="I368" s="645"/>
      <c r="J368" s="645"/>
    </row>
    <row r="369" spans="1:10" x14ac:dyDescent="0.2">
      <c r="A369" s="531">
        <v>574</v>
      </c>
      <c r="B369" s="646">
        <v>6</v>
      </c>
      <c r="C369" s="655">
        <v>1</v>
      </c>
      <c r="D369" s="656" t="s">
        <v>2676</v>
      </c>
      <c r="E369" s="656" t="s">
        <v>2677</v>
      </c>
      <c r="G369" s="645"/>
      <c r="H369" s="645"/>
      <c r="I369" s="645"/>
      <c r="J369" s="645"/>
    </row>
    <row r="370" spans="1:10" x14ac:dyDescent="0.2">
      <c r="A370" s="531">
        <v>576</v>
      </c>
      <c r="B370" s="646">
        <v>5</v>
      </c>
      <c r="C370" s="655">
        <v>1</v>
      </c>
      <c r="D370" s="656" t="s">
        <v>2678</v>
      </c>
      <c r="E370" s="656" t="s">
        <v>1431</v>
      </c>
      <c r="G370" s="645"/>
      <c r="H370" s="645"/>
      <c r="I370" s="645"/>
      <c r="J370" s="645"/>
    </row>
    <row r="371" spans="1:10" x14ac:dyDescent="0.2">
      <c r="B371" s="646">
        <v>5</v>
      </c>
      <c r="C371" s="655">
        <v>1</v>
      </c>
      <c r="D371" s="656" t="s">
        <v>2679</v>
      </c>
      <c r="E371" s="656" t="s">
        <v>1431</v>
      </c>
      <c r="G371" s="645"/>
      <c r="H371" s="645"/>
      <c r="I371" s="645"/>
      <c r="J371" s="645"/>
    </row>
    <row r="372" spans="1:10" x14ac:dyDescent="0.2">
      <c r="B372" s="646">
        <v>5</v>
      </c>
      <c r="C372" s="655">
        <v>1</v>
      </c>
      <c r="D372" s="656" t="s">
        <v>2680</v>
      </c>
      <c r="E372" s="656" t="s">
        <v>2455</v>
      </c>
      <c r="G372" s="645"/>
      <c r="H372" s="645"/>
      <c r="I372" s="645"/>
      <c r="J372" s="645"/>
    </row>
    <row r="373" spans="1:10" x14ac:dyDescent="0.2">
      <c r="B373" s="646">
        <v>5</v>
      </c>
      <c r="C373" s="655">
        <v>1</v>
      </c>
      <c r="D373" s="656" t="s">
        <v>2681</v>
      </c>
      <c r="E373" s="656" t="s">
        <v>2455</v>
      </c>
      <c r="G373" s="645"/>
      <c r="H373" s="645"/>
      <c r="I373" s="645"/>
      <c r="J373" s="645"/>
    </row>
    <row r="374" spans="1:10" x14ac:dyDescent="0.2">
      <c r="B374" s="646">
        <v>5</v>
      </c>
      <c r="C374" s="655">
        <v>1</v>
      </c>
      <c r="D374" s="656" t="s">
        <v>2682</v>
      </c>
      <c r="E374" s="656" t="s">
        <v>2455</v>
      </c>
      <c r="G374" s="645"/>
      <c r="H374" s="645"/>
      <c r="I374" s="645"/>
      <c r="J374" s="645"/>
    </row>
    <row r="375" spans="1:10" x14ac:dyDescent="0.2">
      <c r="A375" s="531">
        <v>578</v>
      </c>
      <c r="B375" s="646">
        <v>4</v>
      </c>
      <c r="C375" s="655">
        <v>1</v>
      </c>
      <c r="D375" s="656" t="s">
        <v>2683</v>
      </c>
      <c r="E375" s="656" t="s">
        <v>2684</v>
      </c>
      <c r="G375" s="645"/>
      <c r="H375" s="645"/>
      <c r="I375" s="645"/>
      <c r="J375" s="645"/>
    </row>
    <row r="376" spans="1:10" x14ac:dyDescent="0.2">
      <c r="A376" s="531">
        <v>580</v>
      </c>
      <c r="B376" s="646">
        <v>3</v>
      </c>
      <c r="C376" s="655">
        <v>1</v>
      </c>
      <c r="D376" s="656" t="s">
        <v>2685</v>
      </c>
      <c r="E376" s="656" t="s">
        <v>2686</v>
      </c>
      <c r="G376" s="645"/>
      <c r="H376" s="645"/>
      <c r="I376" s="645"/>
      <c r="J376" s="645"/>
    </row>
    <row r="377" spans="1:10" x14ac:dyDescent="0.2">
      <c r="A377" s="531">
        <v>582</v>
      </c>
      <c r="B377" s="646">
        <v>3</v>
      </c>
      <c r="C377" s="655">
        <v>2</v>
      </c>
      <c r="D377" s="656" t="s">
        <v>2457</v>
      </c>
      <c r="E377" s="656" t="s">
        <v>2458</v>
      </c>
      <c r="G377" s="645"/>
      <c r="H377" s="645"/>
      <c r="I377" s="645"/>
      <c r="J377" s="645"/>
    </row>
    <row r="378" spans="1:10" ht="15.75" x14ac:dyDescent="0.25">
      <c r="A378" s="531">
        <v>590</v>
      </c>
      <c r="C378" s="641">
        <f>SUM(C367:C377)</f>
        <v>12</v>
      </c>
      <c r="G378" s="645"/>
      <c r="H378" s="645"/>
      <c r="I378" s="645"/>
      <c r="J378" s="645"/>
    </row>
    <row r="379" spans="1:10" x14ac:dyDescent="0.2">
      <c r="A379" s="650">
        <v>598</v>
      </c>
      <c r="C379" s="666"/>
      <c r="G379" s="645"/>
      <c r="H379" s="645"/>
      <c r="I379" s="645"/>
      <c r="J379" s="645"/>
    </row>
    <row r="380" spans="1:10" ht="15.75" x14ac:dyDescent="0.25">
      <c r="A380" s="531">
        <v>600</v>
      </c>
      <c r="D380" s="691" t="s">
        <v>2687</v>
      </c>
      <c r="G380" s="645"/>
      <c r="H380" s="645"/>
      <c r="I380" s="645"/>
      <c r="J380" s="645"/>
    </row>
    <row r="381" spans="1:10" x14ac:dyDescent="0.2">
      <c r="A381" s="531">
        <v>602</v>
      </c>
      <c r="B381" s="646">
        <v>9</v>
      </c>
      <c r="C381" s="655">
        <v>1</v>
      </c>
      <c r="D381" s="656" t="s">
        <v>2518</v>
      </c>
      <c r="E381" s="656" t="s">
        <v>1430</v>
      </c>
      <c r="G381" s="645"/>
      <c r="H381" s="645"/>
      <c r="I381" s="645"/>
      <c r="J381" s="645"/>
    </row>
    <row r="382" spans="1:10" x14ac:dyDescent="0.2">
      <c r="A382" s="531">
        <v>604</v>
      </c>
      <c r="B382" s="646">
        <v>7</v>
      </c>
      <c r="C382" s="655">
        <v>1</v>
      </c>
      <c r="D382" s="656" t="s">
        <v>2688</v>
      </c>
      <c r="E382" s="656" t="s">
        <v>2643</v>
      </c>
      <c r="G382" s="645"/>
      <c r="H382" s="645"/>
      <c r="I382" s="645"/>
      <c r="J382" s="645"/>
    </row>
    <row r="383" spans="1:10" x14ac:dyDescent="0.2">
      <c r="A383" s="531">
        <v>606</v>
      </c>
      <c r="B383" s="646">
        <v>6</v>
      </c>
      <c r="C383" s="655">
        <v>2</v>
      </c>
      <c r="D383" s="656" t="s">
        <v>2689</v>
      </c>
      <c r="E383" s="656" t="s">
        <v>1431</v>
      </c>
      <c r="G383" s="645"/>
      <c r="H383" s="645"/>
      <c r="I383" s="645"/>
      <c r="J383" s="645"/>
    </row>
    <row r="384" spans="1:10" x14ac:dyDescent="0.2">
      <c r="A384" s="531">
        <v>608</v>
      </c>
      <c r="B384" s="646">
        <v>5</v>
      </c>
      <c r="C384" s="655">
        <v>3</v>
      </c>
      <c r="D384" s="656" t="s">
        <v>2690</v>
      </c>
      <c r="E384" s="656" t="s">
        <v>2455</v>
      </c>
      <c r="G384" s="645"/>
      <c r="H384" s="645"/>
      <c r="I384" s="645"/>
      <c r="J384" s="645"/>
    </row>
    <row r="385" spans="1:10" x14ac:dyDescent="0.2">
      <c r="B385" s="646">
        <v>4</v>
      </c>
      <c r="C385" s="655">
        <v>2</v>
      </c>
      <c r="D385" s="656" t="s">
        <v>2691</v>
      </c>
      <c r="E385" s="656" t="s">
        <v>1432</v>
      </c>
      <c r="G385" s="645"/>
      <c r="H385" s="645"/>
      <c r="I385" s="645"/>
      <c r="J385" s="645"/>
    </row>
    <row r="386" spans="1:10" x14ac:dyDescent="0.2">
      <c r="B386" s="646">
        <v>4</v>
      </c>
      <c r="C386" s="655">
        <v>1</v>
      </c>
      <c r="D386" s="656" t="s">
        <v>2692</v>
      </c>
      <c r="E386" s="656" t="s">
        <v>2515</v>
      </c>
      <c r="G386" s="645"/>
      <c r="H386" s="645"/>
      <c r="I386" s="645"/>
      <c r="J386" s="645"/>
    </row>
    <row r="387" spans="1:10" x14ac:dyDescent="0.2">
      <c r="B387" s="646">
        <v>4</v>
      </c>
      <c r="C387" s="655">
        <v>1</v>
      </c>
      <c r="D387" s="656" t="s">
        <v>2456</v>
      </c>
      <c r="E387" s="656" t="s">
        <v>1432</v>
      </c>
      <c r="G387" s="645"/>
      <c r="H387" s="645"/>
      <c r="I387" s="645"/>
      <c r="J387" s="645"/>
    </row>
    <row r="388" spans="1:10" x14ac:dyDescent="0.2">
      <c r="B388" s="646">
        <v>3</v>
      </c>
      <c r="C388" s="655">
        <v>1</v>
      </c>
      <c r="D388" s="656" t="s">
        <v>2658</v>
      </c>
      <c r="E388" s="656" t="s">
        <v>2639</v>
      </c>
      <c r="G388" s="645"/>
      <c r="H388" s="645"/>
      <c r="I388" s="645"/>
      <c r="J388" s="645"/>
    </row>
    <row r="389" spans="1:10" x14ac:dyDescent="0.2">
      <c r="B389" s="646">
        <v>3</v>
      </c>
      <c r="C389" s="655">
        <v>2</v>
      </c>
      <c r="D389" s="656" t="s">
        <v>2659</v>
      </c>
      <c r="E389" s="656" t="s">
        <v>2628</v>
      </c>
      <c r="G389" s="645"/>
      <c r="H389" s="645"/>
      <c r="I389" s="645"/>
      <c r="J389" s="645"/>
    </row>
    <row r="390" spans="1:10" x14ac:dyDescent="0.2">
      <c r="B390" s="646">
        <v>3</v>
      </c>
      <c r="C390" s="655">
        <v>1</v>
      </c>
      <c r="D390" s="656" t="s">
        <v>2693</v>
      </c>
      <c r="E390" s="656" t="s">
        <v>2628</v>
      </c>
      <c r="G390" s="645"/>
      <c r="H390" s="645"/>
      <c r="I390" s="645"/>
      <c r="J390" s="645"/>
    </row>
    <row r="391" spans="1:10" ht="15.75" x14ac:dyDescent="0.25">
      <c r="A391" s="650">
        <v>618</v>
      </c>
      <c r="B391" s="647"/>
      <c r="C391" s="651">
        <f>SUM(C381:C390)</f>
        <v>15</v>
      </c>
      <c r="D391" s="649"/>
      <c r="E391" s="649"/>
      <c r="G391" s="645"/>
      <c r="H391" s="645"/>
      <c r="I391" s="645"/>
      <c r="J391" s="645"/>
    </row>
    <row r="392" spans="1:10" ht="15.75" x14ac:dyDescent="0.25">
      <c r="A392" s="531">
        <v>628</v>
      </c>
      <c r="B392" s="647"/>
      <c r="C392" s="659"/>
      <c r="D392" s="649"/>
      <c r="E392" s="649"/>
      <c r="G392" s="645"/>
      <c r="H392" s="645"/>
      <c r="I392" s="645"/>
      <c r="J392" s="645"/>
    </row>
    <row r="393" spans="1:10" x14ac:dyDescent="0.2">
      <c r="A393" s="650">
        <v>630</v>
      </c>
      <c r="B393" s="647"/>
      <c r="C393" s="668"/>
      <c r="D393" s="649"/>
      <c r="E393" s="649"/>
      <c r="G393" s="645"/>
      <c r="H393" s="645"/>
      <c r="I393" s="645"/>
      <c r="J393" s="645"/>
    </row>
    <row r="394" spans="1:10" ht="15.75" x14ac:dyDescent="0.25">
      <c r="A394" s="531">
        <v>632</v>
      </c>
      <c r="B394" s="647"/>
      <c r="C394" s="647"/>
      <c r="D394" s="681" t="s">
        <v>2694</v>
      </c>
      <c r="E394" s="649"/>
      <c r="G394" s="645"/>
      <c r="H394" s="645"/>
      <c r="I394" s="645"/>
      <c r="J394" s="645"/>
    </row>
    <row r="395" spans="1:10" x14ac:dyDescent="0.2">
      <c r="A395" s="531">
        <v>634</v>
      </c>
      <c r="B395" s="646">
        <v>9</v>
      </c>
      <c r="C395" s="655">
        <v>1</v>
      </c>
      <c r="D395" s="656" t="s">
        <v>2695</v>
      </c>
      <c r="E395" s="656" t="s">
        <v>1430</v>
      </c>
      <c r="G395" s="645"/>
      <c r="H395" s="645"/>
      <c r="I395" s="645"/>
      <c r="J395" s="645"/>
    </row>
    <row r="396" spans="1:10" x14ac:dyDescent="0.2">
      <c r="A396" s="531">
        <v>636</v>
      </c>
      <c r="B396" s="646">
        <v>7</v>
      </c>
      <c r="C396" s="655">
        <v>1</v>
      </c>
      <c r="D396" s="656" t="s">
        <v>2696</v>
      </c>
      <c r="E396" s="656" t="s">
        <v>2541</v>
      </c>
      <c r="G396" s="645"/>
      <c r="H396" s="645"/>
      <c r="I396" s="645"/>
      <c r="J396" s="645"/>
    </row>
    <row r="397" spans="1:10" x14ac:dyDescent="0.2">
      <c r="A397" s="531">
        <v>638</v>
      </c>
      <c r="B397" s="646">
        <v>6</v>
      </c>
      <c r="C397" s="655">
        <v>3</v>
      </c>
      <c r="D397" s="656" t="s">
        <v>2697</v>
      </c>
      <c r="E397" s="656" t="s">
        <v>1431</v>
      </c>
      <c r="G397" s="645"/>
      <c r="H397" s="645"/>
      <c r="I397" s="645"/>
      <c r="J397" s="645"/>
    </row>
    <row r="398" spans="1:10" x14ac:dyDescent="0.2">
      <c r="A398" s="531">
        <v>640</v>
      </c>
      <c r="B398" s="646">
        <v>4</v>
      </c>
      <c r="C398" s="655">
        <v>1</v>
      </c>
      <c r="D398" s="656" t="s">
        <v>2456</v>
      </c>
      <c r="E398" s="656" t="s">
        <v>1432</v>
      </c>
      <c r="G398" s="645"/>
      <c r="H398" s="645"/>
      <c r="I398" s="645"/>
      <c r="J398" s="645"/>
    </row>
    <row r="399" spans="1:10" x14ac:dyDescent="0.2">
      <c r="A399" s="531">
        <v>642</v>
      </c>
      <c r="B399" s="646">
        <v>5</v>
      </c>
      <c r="C399" s="655">
        <v>1</v>
      </c>
      <c r="D399" s="656" t="s">
        <v>2698</v>
      </c>
      <c r="E399" s="656" t="s">
        <v>2699</v>
      </c>
      <c r="G399" s="645"/>
      <c r="H399" s="645"/>
      <c r="I399" s="645"/>
      <c r="J399" s="645"/>
    </row>
    <row r="400" spans="1:10" ht="16.5" thickBot="1" x14ac:dyDescent="0.3">
      <c r="A400" s="531">
        <v>652</v>
      </c>
      <c r="B400" s="647"/>
      <c r="C400" s="651">
        <f>SUM(C395:C399)</f>
        <v>7</v>
      </c>
      <c r="D400" s="531"/>
      <c r="E400" s="531"/>
      <c r="G400" s="645"/>
      <c r="H400" s="645"/>
      <c r="I400" s="645"/>
      <c r="J400" s="645"/>
    </row>
    <row r="401" spans="1:10" x14ac:dyDescent="0.2">
      <c r="A401" s="650">
        <v>654</v>
      </c>
      <c r="B401" s="647"/>
      <c r="C401" s="652"/>
      <c r="D401" s="649"/>
      <c r="E401" s="649"/>
      <c r="G401" s="645"/>
      <c r="H401" s="645"/>
      <c r="I401" s="645"/>
      <c r="J401" s="645"/>
    </row>
    <row r="402" spans="1:10" x14ac:dyDescent="0.2">
      <c r="A402" s="650"/>
      <c r="B402" s="647"/>
      <c r="C402" s="668"/>
      <c r="D402" s="649"/>
      <c r="E402" s="649"/>
      <c r="G402" s="645"/>
      <c r="H402" s="645"/>
      <c r="I402" s="645"/>
      <c r="J402" s="645"/>
    </row>
    <row r="403" spans="1:10" ht="15.75" x14ac:dyDescent="0.25">
      <c r="A403" s="650"/>
      <c r="B403" s="647"/>
      <c r="C403" s="668"/>
      <c r="D403" s="681" t="s">
        <v>2700</v>
      </c>
      <c r="E403" s="649"/>
      <c r="G403" s="645"/>
      <c r="H403" s="645"/>
      <c r="I403" s="645"/>
      <c r="J403" s="645"/>
    </row>
    <row r="404" spans="1:10" x14ac:dyDescent="0.2">
      <c r="B404" s="646">
        <v>7</v>
      </c>
      <c r="C404" s="655">
        <v>1</v>
      </c>
      <c r="D404" s="656" t="s">
        <v>2701</v>
      </c>
      <c r="E404" s="656" t="s">
        <v>2643</v>
      </c>
      <c r="G404" s="645"/>
      <c r="H404" s="645"/>
      <c r="I404" s="645"/>
      <c r="J404" s="645"/>
    </row>
    <row r="405" spans="1:10" x14ac:dyDescent="0.2">
      <c r="B405" s="646">
        <v>5</v>
      </c>
      <c r="C405" s="655">
        <v>1</v>
      </c>
      <c r="D405" s="656" t="s">
        <v>2702</v>
      </c>
      <c r="E405" s="656" t="s">
        <v>2455</v>
      </c>
      <c r="G405" s="645"/>
      <c r="H405" s="645"/>
      <c r="I405" s="645"/>
      <c r="J405" s="645"/>
    </row>
    <row r="406" spans="1:10" x14ac:dyDescent="0.2">
      <c r="B406" s="646">
        <v>4</v>
      </c>
      <c r="C406" s="655">
        <v>1</v>
      </c>
      <c r="D406" s="656" t="s">
        <v>2456</v>
      </c>
      <c r="E406" s="656" t="s">
        <v>1432</v>
      </c>
      <c r="G406" s="645"/>
      <c r="H406" s="645"/>
      <c r="I406" s="645"/>
      <c r="J406" s="645"/>
    </row>
    <row r="407" spans="1:10" ht="16.5" thickBot="1" x14ac:dyDescent="0.3">
      <c r="A407" s="650"/>
      <c r="B407" s="647"/>
      <c r="C407" s="651">
        <f>SUM(C404:C406)</f>
        <v>3</v>
      </c>
      <c r="D407" s="645"/>
      <c r="E407" s="649"/>
      <c r="G407" s="645"/>
      <c r="H407" s="645"/>
      <c r="I407" s="645"/>
      <c r="J407" s="645"/>
    </row>
    <row r="408" spans="1:10" x14ac:dyDescent="0.2">
      <c r="A408" s="650"/>
      <c r="B408" s="647"/>
      <c r="C408" s="652"/>
      <c r="D408" s="645"/>
      <c r="E408" s="649"/>
      <c r="G408" s="645"/>
      <c r="H408" s="645"/>
      <c r="I408" s="645"/>
      <c r="J408" s="645"/>
    </row>
    <row r="409" spans="1:10" ht="15.75" x14ac:dyDescent="0.25">
      <c r="A409" s="531">
        <v>664</v>
      </c>
      <c r="B409" s="647"/>
      <c r="C409" s="659"/>
      <c r="D409" s="667"/>
      <c r="E409" s="649"/>
      <c r="G409" s="645"/>
      <c r="H409" s="645"/>
      <c r="I409" s="645"/>
      <c r="J409" s="645"/>
    </row>
    <row r="410" spans="1:10" ht="15.75" x14ac:dyDescent="0.25">
      <c r="B410" s="647"/>
      <c r="C410" s="659"/>
      <c r="D410" s="692" t="s">
        <v>251</v>
      </c>
      <c r="E410" s="649"/>
      <c r="G410" s="645"/>
      <c r="H410" s="645"/>
      <c r="I410" s="645"/>
      <c r="J410" s="645"/>
    </row>
    <row r="411" spans="1:10" ht="15.75" x14ac:dyDescent="0.25">
      <c r="B411" s="647"/>
      <c r="C411" s="659"/>
      <c r="D411" s="675" t="s">
        <v>2703</v>
      </c>
      <c r="E411" s="649"/>
      <c r="G411" s="645"/>
      <c r="H411" s="645"/>
      <c r="I411" s="645"/>
      <c r="J411" s="645"/>
    </row>
    <row r="412" spans="1:10" ht="15.75" x14ac:dyDescent="0.25">
      <c r="B412" s="647"/>
      <c r="C412" s="659"/>
      <c r="D412" s="675"/>
      <c r="E412" s="649"/>
      <c r="G412" s="645"/>
      <c r="H412" s="645"/>
      <c r="I412" s="645"/>
      <c r="J412" s="645"/>
    </row>
    <row r="413" spans="1:10" x14ac:dyDescent="0.2">
      <c r="B413" s="647"/>
      <c r="C413" s="653">
        <v>1</v>
      </c>
      <c r="D413" s="654" t="s">
        <v>2634</v>
      </c>
      <c r="E413" s="654"/>
      <c r="G413" s="645"/>
      <c r="H413" s="645"/>
      <c r="I413" s="645"/>
      <c r="J413" s="645"/>
    </row>
    <row r="414" spans="1:10" x14ac:dyDescent="0.2">
      <c r="B414" s="647">
        <v>10</v>
      </c>
      <c r="C414" s="653">
        <v>1</v>
      </c>
      <c r="D414" s="654" t="s">
        <v>821</v>
      </c>
      <c r="E414" s="654" t="s">
        <v>1945</v>
      </c>
      <c r="G414" s="645"/>
      <c r="H414" s="645"/>
      <c r="I414" s="645"/>
      <c r="J414" s="645"/>
    </row>
    <row r="415" spans="1:10" x14ac:dyDescent="0.2">
      <c r="B415" s="647">
        <v>9</v>
      </c>
      <c r="C415" s="653">
        <v>1</v>
      </c>
      <c r="D415" s="654" t="s">
        <v>2518</v>
      </c>
      <c r="E415" s="654" t="s">
        <v>1430</v>
      </c>
      <c r="G415" s="645"/>
      <c r="H415" s="645"/>
      <c r="I415" s="645"/>
      <c r="J415" s="645"/>
    </row>
    <row r="416" spans="1:10" x14ac:dyDescent="0.2">
      <c r="B416" s="647">
        <v>9</v>
      </c>
      <c r="C416" s="653">
        <v>1</v>
      </c>
      <c r="D416" s="654" t="s">
        <v>2704</v>
      </c>
      <c r="E416" s="654" t="s">
        <v>1430</v>
      </c>
      <c r="G416" s="645"/>
      <c r="H416" s="645"/>
      <c r="I416" s="645"/>
      <c r="J416" s="645"/>
    </row>
    <row r="417" spans="1:10" x14ac:dyDescent="0.2">
      <c r="B417" s="647">
        <v>6</v>
      </c>
      <c r="C417" s="653">
        <v>2</v>
      </c>
      <c r="D417" s="654" t="s">
        <v>2453</v>
      </c>
      <c r="E417" s="654" t="s">
        <v>1431</v>
      </c>
      <c r="G417" s="645"/>
      <c r="H417" s="645"/>
      <c r="I417" s="645"/>
      <c r="J417" s="645"/>
    </row>
    <row r="418" spans="1:10" x14ac:dyDescent="0.2">
      <c r="B418" s="647">
        <v>5</v>
      </c>
      <c r="C418" s="653">
        <v>1</v>
      </c>
      <c r="D418" s="654" t="s">
        <v>2454</v>
      </c>
      <c r="E418" s="654" t="s">
        <v>2455</v>
      </c>
      <c r="G418" s="645"/>
      <c r="H418" s="645"/>
      <c r="I418" s="645"/>
      <c r="J418" s="645"/>
    </row>
    <row r="419" spans="1:10" x14ac:dyDescent="0.2">
      <c r="B419" s="647">
        <v>5</v>
      </c>
      <c r="C419" s="653">
        <v>1</v>
      </c>
      <c r="D419" s="654" t="s">
        <v>2705</v>
      </c>
      <c r="E419" s="654" t="s">
        <v>2455</v>
      </c>
      <c r="G419" s="645"/>
      <c r="H419" s="645"/>
      <c r="I419" s="645"/>
      <c r="J419" s="645"/>
    </row>
    <row r="420" spans="1:10" x14ac:dyDescent="0.2">
      <c r="B420" s="647">
        <v>5</v>
      </c>
      <c r="C420" s="653">
        <v>1</v>
      </c>
      <c r="D420" s="654" t="s">
        <v>2706</v>
      </c>
      <c r="E420" s="654" t="s">
        <v>2455</v>
      </c>
      <c r="G420" s="645"/>
      <c r="H420" s="645"/>
      <c r="I420" s="645"/>
      <c r="J420" s="645"/>
    </row>
    <row r="421" spans="1:10" x14ac:dyDescent="0.2">
      <c r="B421" s="647">
        <v>4</v>
      </c>
      <c r="C421" s="653">
        <v>2</v>
      </c>
      <c r="D421" s="654" t="s">
        <v>2456</v>
      </c>
      <c r="E421" s="654" t="s">
        <v>1432</v>
      </c>
      <c r="G421" s="645"/>
      <c r="H421" s="645"/>
      <c r="I421" s="645"/>
      <c r="J421" s="645"/>
    </row>
    <row r="422" spans="1:10" x14ac:dyDescent="0.2">
      <c r="B422" s="647">
        <v>4</v>
      </c>
      <c r="C422" s="653">
        <v>1</v>
      </c>
      <c r="D422" s="654" t="s">
        <v>2707</v>
      </c>
      <c r="E422" s="654" t="s">
        <v>2515</v>
      </c>
      <c r="G422" s="645"/>
      <c r="H422" s="645"/>
      <c r="I422" s="645"/>
      <c r="J422" s="645"/>
    </row>
    <row r="423" spans="1:10" x14ac:dyDescent="0.2">
      <c r="B423" s="647">
        <v>3</v>
      </c>
      <c r="C423" s="653">
        <v>5</v>
      </c>
      <c r="D423" s="654" t="s">
        <v>2457</v>
      </c>
      <c r="E423" s="654" t="s">
        <v>2458</v>
      </c>
      <c r="G423" s="645"/>
      <c r="H423" s="645"/>
      <c r="I423" s="645"/>
      <c r="J423" s="645"/>
    </row>
    <row r="424" spans="1:10" ht="15.75" x14ac:dyDescent="0.25">
      <c r="A424" s="531">
        <v>666</v>
      </c>
      <c r="C424" s="641">
        <f>SUM(C413:C423)</f>
        <v>17</v>
      </c>
      <c r="E424" s="650"/>
      <c r="I424" s="645"/>
      <c r="J424" s="645"/>
    </row>
    <row r="425" spans="1:10" ht="15.75" x14ac:dyDescent="0.25">
      <c r="A425" s="531">
        <v>672</v>
      </c>
      <c r="C425" s="665"/>
      <c r="E425" s="650"/>
      <c r="I425" s="645"/>
      <c r="J425" s="645"/>
    </row>
    <row r="426" spans="1:10" ht="15.75" x14ac:dyDescent="0.25">
      <c r="C426" s="675" t="s">
        <v>2708</v>
      </c>
      <c r="D426" s="667"/>
      <c r="I426" s="645"/>
      <c r="J426" s="645"/>
    </row>
    <row r="427" spans="1:10" x14ac:dyDescent="0.2">
      <c r="B427" s="646">
        <v>8</v>
      </c>
      <c r="C427" s="655">
        <v>1</v>
      </c>
      <c r="D427" s="656" t="s">
        <v>2709</v>
      </c>
      <c r="E427" s="656" t="s">
        <v>1430</v>
      </c>
      <c r="I427" s="645"/>
      <c r="J427" s="645"/>
    </row>
    <row r="428" spans="1:10" x14ac:dyDescent="0.2">
      <c r="B428" s="646">
        <v>8</v>
      </c>
      <c r="C428" s="655">
        <v>1</v>
      </c>
      <c r="D428" s="656" t="s">
        <v>2710</v>
      </c>
      <c r="E428" s="656" t="s">
        <v>1950</v>
      </c>
      <c r="I428" s="645"/>
      <c r="J428" s="645"/>
    </row>
    <row r="429" spans="1:10" x14ac:dyDescent="0.2">
      <c r="B429" s="646">
        <v>8</v>
      </c>
      <c r="C429" s="655">
        <v>1</v>
      </c>
      <c r="D429" s="656" t="s">
        <v>2711</v>
      </c>
      <c r="E429" s="656" t="s">
        <v>1950</v>
      </c>
      <c r="I429" s="645"/>
      <c r="J429" s="645"/>
    </row>
    <row r="430" spans="1:10" x14ac:dyDescent="0.2">
      <c r="B430" s="646">
        <v>7</v>
      </c>
      <c r="C430" s="655">
        <v>1</v>
      </c>
      <c r="D430" s="656" t="s">
        <v>2712</v>
      </c>
      <c r="E430" s="656" t="s">
        <v>1951</v>
      </c>
      <c r="I430" s="645"/>
      <c r="J430" s="645"/>
    </row>
    <row r="431" spans="1:10" x14ac:dyDescent="0.2">
      <c r="B431" s="646">
        <v>7</v>
      </c>
      <c r="C431" s="655">
        <v>1</v>
      </c>
      <c r="D431" s="656" t="s">
        <v>2713</v>
      </c>
      <c r="E431" s="656" t="s">
        <v>2439</v>
      </c>
      <c r="I431" s="645"/>
      <c r="J431" s="645"/>
    </row>
    <row r="432" spans="1:10" x14ac:dyDescent="0.2">
      <c r="B432" s="646">
        <v>7</v>
      </c>
      <c r="C432" s="655">
        <v>1</v>
      </c>
      <c r="D432" s="656" t="s">
        <v>2714</v>
      </c>
      <c r="E432" s="656" t="s">
        <v>1951</v>
      </c>
      <c r="I432" s="645"/>
      <c r="J432" s="645"/>
    </row>
    <row r="433" spans="2:10" x14ac:dyDescent="0.2">
      <c r="B433" s="646">
        <v>7</v>
      </c>
      <c r="C433" s="655">
        <v>1</v>
      </c>
      <c r="D433" s="656" t="s">
        <v>2715</v>
      </c>
      <c r="E433" s="656" t="s">
        <v>1951</v>
      </c>
      <c r="I433" s="645"/>
      <c r="J433" s="645"/>
    </row>
    <row r="434" spans="2:10" x14ac:dyDescent="0.2">
      <c r="B434" s="646">
        <v>5</v>
      </c>
      <c r="C434" s="655">
        <v>1</v>
      </c>
      <c r="D434" s="656" t="s">
        <v>2716</v>
      </c>
      <c r="E434" s="656" t="s">
        <v>2566</v>
      </c>
      <c r="I434" s="645"/>
      <c r="J434" s="645"/>
    </row>
    <row r="435" spans="2:10" x14ac:dyDescent="0.2">
      <c r="B435" s="646">
        <v>7</v>
      </c>
      <c r="C435" s="655">
        <v>2</v>
      </c>
      <c r="D435" s="656" t="s">
        <v>2717</v>
      </c>
      <c r="E435" s="656" t="s">
        <v>2439</v>
      </c>
      <c r="I435" s="645"/>
      <c r="J435" s="645"/>
    </row>
    <row r="436" spans="2:10" x14ac:dyDescent="0.2">
      <c r="B436" s="646">
        <v>6</v>
      </c>
      <c r="C436" s="655">
        <v>2</v>
      </c>
      <c r="D436" s="656" t="s">
        <v>2718</v>
      </c>
      <c r="E436" s="656" t="s">
        <v>2566</v>
      </c>
      <c r="I436" s="645"/>
      <c r="J436" s="645"/>
    </row>
    <row r="437" spans="2:10" x14ac:dyDescent="0.2">
      <c r="B437" s="646">
        <v>4</v>
      </c>
      <c r="C437" s="655">
        <v>0</v>
      </c>
      <c r="D437" s="656" t="s">
        <v>2719</v>
      </c>
      <c r="E437" s="656" t="s">
        <v>2549</v>
      </c>
      <c r="I437" s="645"/>
      <c r="J437" s="645"/>
    </row>
    <row r="438" spans="2:10" x14ac:dyDescent="0.2">
      <c r="B438" s="646">
        <v>6</v>
      </c>
      <c r="C438" s="655">
        <v>1</v>
      </c>
      <c r="D438" s="656" t="s">
        <v>2720</v>
      </c>
      <c r="E438" s="656" t="s">
        <v>2566</v>
      </c>
      <c r="I438" s="645"/>
      <c r="J438" s="645"/>
    </row>
    <row r="439" spans="2:10" x14ac:dyDescent="0.2">
      <c r="B439" s="646">
        <v>6</v>
      </c>
      <c r="C439" s="655">
        <v>1</v>
      </c>
      <c r="D439" s="656" t="s">
        <v>2721</v>
      </c>
      <c r="E439" s="656" t="s">
        <v>1431</v>
      </c>
      <c r="I439" s="645"/>
      <c r="J439" s="645"/>
    </row>
    <row r="440" spans="2:10" x14ac:dyDescent="0.2">
      <c r="B440" s="646">
        <v>6</v>
      </c>
      <c r="C440" s="655">
        <v>1</v>
      </c>
      <c r="D440" s="656" t="s">
        <v>2722</v>
      </c>
      <c r="E440" s="656" t="s">
        <v>2441</v>
      </c>
      <c r="I440" s="645"/>
      <c r="J440" s="645"/>
    </row>
    <row r="441" spans="2:10" x14ac:dyDescent="0.2">
      <c r="B441" s="646">
        <v>6</v>
      </c>
      <c r="C441" s="655">
        <v>1</v>
      </c>
      <c r="D441" s="656" t="s">
        <v>2723</v>
      </c>
      <c r="E441" s="656" t="s">
        <v>2441</v>
      </c>
      <c r="I441" s="645"/>
      <c r="J441" s="645"/>
    </row>
    <row r="442" spans="2:10" x14ac:dyDescent="0.2">
      <c r="B442" s="646">
        <v>5</v>
      </c>
      <c r="C442" s="655">
        <v>1</v>
      </c>
      <c r="D442" s="656" t="s">
        <v>2724</v>
      </c>
      <c r="E442" s="656" t="s">
        <v>2441</v>
      </c>
      <c r="I442" s="645"/>
      <c r="J442" s="645"/>
    </row>
    <row r="443" spans="2:10" x14ac:dyDescent="0.2">
      <c r="C443" s="655">
        <v>1</v>
      </c>
      <c r="D443" s="656" t="s">
        <v>2725</v>
      </c>
      <c r="E443" s="656" t="s">
        <v>2455</v>
      </c>
      <c r="I443" s="645"/>
      <c r="J443" s="645"/>
    </row>
    <row r="444" spans="2:10" x14ac:dyDescent="0.2">
      <c r="B444" s="646">
        <v>5</v>
      </c>
      <c r="C444" s="655">
        <v>3</v>
      </c>
      <c r="D444" s="656" t="s">
        <v>2726</v>
      </c>
      <c r="E444" s="656" t="s">
        <v>2455</v>
      </c>
      <c r="I444" s="645"/>
      <c r="J444" s="645"/>
    </row>
    <row r="445" spans="2:10" x14ac:dyDescent="0.2">
      <c r="B445" s="646">
        <v>4</v>
      </c>
      <c r="C445" s="655">
        <v>2</v>
      </c>
      <c r="D445" s="656" t="s">
        <v>2727</v>
      </c>
      <c r="E445" s="656" t="s">
        <v>2728</v>
      </c>
      <c r="I445" s="645"/>
      <c r="J445" s="645"/>
    </row>
    <row r="446" spans="2:10" x14ac:dyDescent="0.2">
      <c r="B446" s="646">
        <v>4</v>
      </c>
      <c r="C446" s="655">
        <v>5</v>
      </c>
      <c r="D446" s="656" t="s">
        <v>2729</v>
      </c>
      <c r="E446" s="656" t="s">
        <v>2730</v>
      </c>
      <c r="I446" s="645"/>
      <c r="J446" s="645"/>
    </row>
    <row r="447" spans="2:10" x14ac:dyDescent="0.2">
      <c r="B447" s="646">
        <v>4</v>
      </c>
      <c r="C447" s="655">
        <v>1</v>
      </c>
      <c r="D447" s="656" t="s">
        <v>2731</v>
      </c>
      <c r="E447" s="656" t="s">
        <v>1432</v>
      </c>
      <c r="I447" s="645"/>
      <c r="J447" s="645"/>
    </row>
    <row r="448" spans="2:10" x14ac:dyDescent="0.2">
      <c r="B448" s="646">
        <v>4</v>
      </c>
      <c r="C448" s="655">
        <v>1</v>
      </c>
      <c r="D448" s="656" t="s">
        <v>2732</v>
      </c>
      <c r="E448" s="656" t="s">
        <v>2455</v>
      </c>
      <c r="I448" s="645"/>
      <c r="J448" s="645"/>
    </row>
    <row r="449" spans="1:10" x14ac:dyDescent="0.2">
      <c r="B449" s="646">
        <v>4</v>
      </c>
      <c r="C449" s="655">
        <v>3</v>
      </c>
      <c r="D449" s="656" t="s">
        <v>2707</v>
      </c>
      <c r="E449" s="656" t="s">
        <v>2733</v>
      </c>
      <c r="I449" s="645"/>
      <c r="J449" s="645"/>
    </row>
    <row r="450" spans="1:10" x14ac:dyDescent="0.2">
      <c r="B450" s="646">
        <v>4</v>
      </c>
      <c r="C450" s="655">
        <v>2</v>
      </c>
      <c r="D450" s="656" t="s">
        <v>2734</v>
      </c>
      <c r="E450" s="656" t="s">
        <v>2735</v>
      </c>
      <c r="I450" s="645"/>
      <c r="J450" s="645"/>
    </row>
    <row r="451" spans="1:10" x14ac:dyDescent="0.2">
      <c r="B451" s="646">
        <v>4</v>
      </c>
      <c r="C451" s="655">
        <v>2</v>
      </c>
      <c r="D451" s="656" t="s">
        <v>2736</v>
      </c>
      <c r="E451" s="656" t="s">
        <v>2737</v>
      </c>
      <c r="I451" s="645"/>
      <c r="J451" s="645"/>
    </row>
    <row r="452" spans="1:10" x14ac:dyDescent="0.2">
      <c r="B452" s="646">
        <v>3</v>
      </c>
      <c r="C452" s="655">
        <v>9</v>
      </c>
      <c r="D452" s="656" t="s">
        <v>2738</v>
      </c>
      <c r="E452" s="656" t="s">
        <v>2639</v>
      </c>
      <c r="I452" s="645"/>
      <c r="J452" s="645"/>
    </row>
    <row r="453" spans="1:10" ht="15.75" x14ac:dyDescent="0.25">
      <c r="C453" s="641">
        <f>SUM(C427:C452)</f>
        <v>46</v>
      </c>
      <c r="I453" s="645"/>
      <c r="J453" s="645"/>
    </row>
    <row r="454" spans="1:10" ht="15.75" x14ac:dyDescent="0.25">
      <c r="C454" s="665"/>
      <c r="I454" s="645"/>
      <c r="J454" s="645"/>
    </row>
    <row r="455" spans="1:10" ht="15.75" x14ac:dyDescent="0.25">
      <c r="C455" s="666"/>
      <c r="D455" s="662" t="s">
        <v>2739</v>
      </c>
      <c r="I455" s="645"/>
      <c r="J455" s="645"/>
    </row>
    <row r="456" spans="1:10" x14ac:dyDescent="0.2">
      <c r="A456" s="531">
        <v>674</v>
      </c>
      <c r="B456" s="646">
        <v>7</v>
      </c>
      <c r="C456" s="655">
        <v>1</v>
      </c>
      <c r="D456" s="656" t="s">
        <v>2740</v>
      </c>
      <c r="E456" s="656" t="s">
        <v>2439</v>
      </c>
      <c r="I456" s="645"/>
      <c r="J456" s="645"/>
    </row>
    <row r="457" spans="1:10" x14ac:dyDescent="0.2">
      <c r="B457" s="646">
        <v>5</v>
      </c>
      <c r="C457" s="655">
        <v>1</v>
      </c>
      <c r="D457" s="656" t="s">
        <v>2741</v>
      </c>
      <c r="E457" s="656" t="s">
        <v>2455</v>
      </c>
      <c r="I457" s="645"/>
      <c r="J457" s="645"/>
    </row>
    <row r="458" spans="1:10" x14ac:dyDescent="0.2">
      <c r="B458" s="646">
        <v>5</v>
      </c>
      <c r="C458" s="655">
        <v>1</v>
      </c>
      <c r="D458" s="656" t="s">
        <v>2742</v>
      </c>
      <c r="E458" s="656" t="s">
        <v>2455</v>
      </c>
      <c r="I458" s="645"/>
      <c r="J458" s="645"/>
    </row>
    <row r="459" spans="1:10" x14ac:dyDescent="0.2">
      <c r="B459" s="646">
        <v>5</v>
      </c>
      <c r="C459" s="655">
        <v>1</v>
      </c>
      <c r="D459" s="656" t="s">
        <v>2743</v>
      </c>
      <c r="E459" s="656" t="s">
        <v>2455</v>
      </c>
      <c r="I459" s="645"/>
      <c r="J459" s="645"/>
    </row>
    <row r="460" spans="1:10" x14ac:dyDescent="0.2">
      <c r="B460" s="646">
        <v>5</v>
      </c>
      <c r="C460" s="655">
        <v>1</v>
      </c>
      <c r="D460" s="656" t="s">
        <v>2744</v>
      </c>
      <c r="E460" s="656" t="s">
        <v>2455</v>
      </c>
      <c r="I460" s="645"/>
      <c r="J460" s="645"/>
    </row>
    <row r="461" spans="1:10" x14ac:dyDescent="0.2">
      <c r="B461" s="646">
        <v>5</v>
      </c>
      <c r="C461" s="655">
        <v>8</v>
      </c>
      <c r="D461" s="656" t="s">
        <v>2745</v>
      </c>
      <c r="E461" s="656" t="s">
        <v>2455</v>
      </c>
      <c r="I461" s="645"/>
      <c r="J461" s="645"/>
    </row>
    <row r="462" spans="1:10" x14ac:dyDescent="0.2">
      <c r="B462" s="646">
        <v>4</v>
      </c>
      <c r="C462" s="655">
        <v>5</v>
      </c>
      <c r="D462" s="656" t="s">
        <v>2746</v>
      </c>
      <c r="E462" s="656" t="s">
        <v>1432</v>
      </c>
      <c r="I462" s="645"/>
      <c r="J462" s="645"/>
    </row>
    <row r="463" spans="1:10" x14ac:dyDescent="0.2">
      <c r="C463" s="655">
        <v>1</v>
      </c>
      <c r="D463" s="656" t="s">
        <v>2747</v>
      </c>
      <c r="E463" s="656" t="s">
        <v>2515</v>
      </c>
      <c r="I463" s="645"/>
      <c r="J463" s="645"/>
    </row>
    <row r="464" spans="1:10" x14ac:dyDescent="0.2">
      <c r="B464" s="646">
        <v>4</v>
      </c>
      <c r="C464" s="655">
        <v>1</v>
      </c>
      <c r="D464" s="656" t="s">
        <v>2748</v>
      </c>
      <c r="E464" s="656" t="s">
        <v>1432</v>
      </c>
      <c r="I464" s="645"/>
      <c r="J464" s="645"/>
    </row>
    <row r="465" spans="1:10" x14ac:dyDescent="0.2">
      <c r="B465" s="646">
        <v>4</v>
      </c>
      <c r="C465" s="655">
        <v>3</v>
      </c>
      <c r="D465" s="656" t="s">
        <v>2749</v>
      </c>
      <c r="E465" s="656" t="s">
        <v>1432</v>
      </c>
      <c r="I465" s="645"/>
      <c r="J465" s="645"/>
    </row>
    <row r="466" spans="1:10" x14ac:dyDescent="0.2">
      <c r="B466" s="646">
        <v>4</v>
      </c>
      <c r="C466" s="655">
        <v>3</v>
      </c>
      <c r="D466" s="656" t="s">
        <v>2750</v>
      </c>
      <c r="E466" s="656" t="s">
        <v>2515</v>
      </c>
      <c r="I466" s="645"/>
      <c r="J466" s="645"/>
    </row>
    <row r="467" spans="1:10" x14ac:dyDescent="0.2">
      <c r="B467" s="646">
        <v>4</v>
      </c>
      <c r="C467" s="655">
        <v>2</v>
      </c>
      <c r="D467" s="656" t="s">
        <v>2751</v>
      </c>
      <c r="E467" s="656" t="s">
        <v>2549</v>
      </c>
      <c r="I467" s="645"/>
      <c r="J467" s="645"/>
    </row>
    <row r="468" spans="1:10" x14ac:dyDescent="0.2">
      <c r="B468" s="646">
        <v>4</v>
      </c>
      <c r="C468" s="655">
        <v>1</v>
      </c>
      <c r="D468" s="656" t="s">
        <v>2752</v>
      </c>
      <c r="E468" s="656" t="s">
        <v>2495</v>
      </c>
      <c r="I468" s="645"/>
      <c r="J468" s="645"/>
    </row>
    <row r="469" spans="1:10" x14ac:dyDescent="0.2">
      <c r="B469" s="646">
        <v>4</v>
      </c>
      <c r="C469" s="655">
        <v>1</v>
      </c>
      <c r="D469" s="656" t="s">
        <v>2753</v>
      </c>
      <c r="E469" s="656" t="s">
        <v>1432</v>
      </c>
      <c r="I469" s="645"/>
      <c r="J469" s="645"/>
    </row>
    <row r="470" spans="1:10" x14ac:dyDescent="0.2">
      <c r="C470" s="655">
        <v>1</v>
      </c>
      <c r="D470" s="656" t="s">
        <v>2754</v>
      </c>
      <c r="E470" s="656" t="s">
        <v>2455</v>
      </c>
      <c r="I470" s="645"/>
      <c r="J470" s="645"/>
    </row>
    <row r="471" spans="1:10" x14ac:dyDescent="0.2">
      <c r="B471" s="646">
        <v>5</v>
      </c>
      <c r="C471" s="655">
        <v>1</v>
      </c>
      <c r="D471" s="656" t="s">
        <v>2755</v>
      </c>
      <c r="E471" s="656" t="s">
        <v>1432</v>
      </c>
      <c r="I471" s="645"/>
      <c r="J471" s="645"/>
    </row>
    <row r="472" spans="1:10" x14ac:dyDescent="0.2">
      <c r="A472" s="531">
        <v>676</v>
      </c>
      <c r="B472" s="646">
        <v>4</v>
      </c>
      <c r="C472" s="655">
        <v>1</v>
      </c>
      <c r="D472" s="656" t="s">
        <v>2756</v>
      </c>
      <c r="E472" s="656" t="s">
        <v>2757</v>
      </c>
      <c r="I472" s="645"/>
      <c r="J472" s="645"/>
    </row>
    <row r="473" spans="1:10" x14ac:dyDescent="0.2">
      <c r="A473" s="531">
        <v>678</v>
      </c>
      <c r="B473" s="646">
        <v>4</v>
      </c>
      <c r="C473" s="655">
        <v>3</v>
      </c>
      <c r="D473" s="656" t="s">
        <v>2758</v>
      </c>
      <c r="E473" s="656" t="s">
        <v>1432</v>
      </c>
      <c r="I473" s="645"/>
      <c r="J473" s="645"/>
    </row>
    <row r="474" spans="1:10" ht="15.75" x14ac:dyDescent="0.25">
      <c r="A474" s="650"/>
      <c r="C474" s="641">
        <f>SUM(C456:C473)</f>
        <v>36</v>
      </c>
      <c r="I474" s="645"/>
      <c r="J474" s="645"/>
    </row>
    <row r="475" spans="1:10" ht="15.75" x14ac:dyDescent="0.25">
      <c r="A475" s="531">
        <v>682</v>
      </c>
      <c r="C475" s="665"/>
      <c r="I475" s="645"/>
      <c r="J475" s="645"/>
    </row>
    <row r="476" spans="1:10" ht="15.75" x14ac:dyDescent="0.25">
      <c r="D476" s="662" t="s">
        <v>2759</v>
      </c>
      <c r="I476" s="645"/>
      <c r="J476" s="645"/>
    </row>
    <row r="477" spans="1:10" x14ac:dyDescent="0.2">
      <c r="A477" s="531">
        <v>686</v>
      </c>
      <c r="B477" s="646">
        <v>9</v>
      </c>
      <c r="C477" s="655">
        <v>1</v>
      </c>
      <c r="D477" s="656" t="s">
        <v>2760</v>
      </c>
      <c r="E477" s="656" t="s">
        <v>2464</v>
      </c>
      <c r="I477" s="645"/>
      <c r="J477" s="645"/>
    </row>
    <row r="478" spans="1:10" x14ac:dyDescent="0.2">
      <c r="A478" s="531">
        <v>688</v>
      </c>
      <c r="B478" s="646">
        <v>8</v>
      </c>
      <c r="C478" s="655">
        <v>1</v>
      </c>
      <c r="D478" s="656" t="s">
        <v>2761</v>
      </c>
      <c r="E478" s="656" t="s">
        <v>2475</v>
      </c>
      <c r="I478" s="645"/>
      <c r="J478" s="645"/>
    </row>
    <row r="479" spans="1:10" x14ac:dyDescent="0.2">
      <c r="A479" s="531">
        <v>690</v>
      </c>
      <c r="B479" s="646">
        <v>7</v>
      </c>
      <c r="C479" s="655">
        <v>1</v>
      </c>
      <c r="D479" s="656" t="s">
        <v>2762</v>
      </c>
      <c r="E479" s="656" t="s">
        <v>2439</v>
      </c>
      <c r="I479" s="645"/>
      <c r="J479" s="645"/>
    </row>
    <row r="480" spans="1:10" x14ac:dyDescent="0.2">
      <c r="A480" s="531">
        <v>692</v>
      </c>
      <c r="B480" s="646">
        <v>6</v>
      </c>
      <c r="C480" s="655">
        <v>3</v>
      </c>
      <c r="D480" s="656" t="s">
        <v>2763</v>
      </c>
      <c r="E480" s="656" t="s">
        <v>2441</v>
      </c>
      <c r="I480" s="645"/>
      <c r="J480" s="645"/>
    </row>
    <row r="481" spans="1:10" x14ac:dyDescent="0.2">
      <c r="A481" s="531">
        <v>694</v>
      </c>
      <c r="B481" s="646">
        <v>5</v>
      </c>
      <c r="C481" s="655">
        <v>3</v>
      </c>
      <c r="D481" s="656" t="s">
        <v>2764</v>
      </c>
      <c r="E481" s="656" t="s">
        <v>2765</v>
      </c>
      <c r="I481" s="645"/>
      <c r="J481" s="645"/>
    </row>
    <row r="482" spans="1:10" x14ac:dyDescent="0.2">
      <c r="A482" s="531">
        <v>696</v>
      </c>
      <c r="B482" s="646">
        <v>4</v>
      </c>
      <c r="C482" s="655">
        <v>2</v>
      </c>
      <c r="D482" s="656" t="s">
        <v>2766</v>
      </c>
      <c r="E482" s="656" t="s">
        <v>2515</v>
      </c>
      <c r="I482" s="645"/>
      <c r="J482" s="645"/>
    </row>
    <row r="483" spans="1:10" x14ac:dyDescent="0.2">
      <c r="A483" s="531">
        <v>698</v>
      </c>
      <c r="B483" s="646">
        <v>5</v>
      </c>
      <c r="C483" s="655">
        <v>1</v>
      </c>
      <c r="D483" s="656" t="s">
        <v>2767</v>
      </c>
      <c r="E483" s="656" t="s">
        <v>2455</v>
      </c>
      <c r="I483" s="645"/>
      <c r="J483" s="645"/>
    </row>
    <row r="484" spans="1:10" x14ac:dyDescent="0.2">
      <c r="B484" s="646">
        <v>4</v>
      </c>
      <c r="C484" s="655">
        <v>3</v>
      </c>
      <c r="D484" s="656" t="s">
        <v>2768</v>
      </c>
      <c r="E484" s="656" t="s">
        <v>1432</v>
      </c>
      <c r="I484" s="645"/>
      <c r="J484" s="645"/>
    </row>
    <row r="485" spans="1:10" x14ac:dyDescent="0.2">
      <c r="A485" s="531">
        <v>700</v>
      </c>
      <c r="B485" s="646">
        <v>4</v>
      </c>
      <c r="C485" s="655">
        <v>12</v>
      </c>
      <c r="D485" s="656" t="s">
        <v>2707</v>
      </c>
      <c r="E485" s="656" t="s">
        <v>2515</v>
      </c>
      <c r="I485" s="645"/>
      <c r="J485" s="645"/>
    </row>
    <row r="486" spans="1:10" x14ac:dyDescent="0.2">
      <c r="B486" s="646">
        <v>4</v>
      </c>
      <c r="C486" s="655">
        <v>2</v>
      </c>
      <c r="D486" s="656" t="s">
        <v>2769</v>
      </c>
      <c r="E486" s="656" t="s">
        <v>2639</v>
      </c>
      <c r="I486" s="645"/>
      <c r="J486" s="645"/>
    </row>
    <row r="487" spans="1:10" x14ac:dyDescent="0.2">
      <c r="B487" s="646">
        <v>4</v>
      </c>
      <c r="C487" s="655">
        <v>2</v>
      </c>
      <c r="D487" s="656" t="s">
        <v>2770</v>
      </c>
      <c r="E487" s="656" t="s">
        <v>1432</v>
      </c>
      <c r="I487" s="645"/>
      <c r="J487" s="645"/>
    </row>
    <row r="488" spans="1:10" x14ac:dyDescent="0.2">
      <c r="B488" s="646">
        <v>4</v>
      </c>
      <c r="C488" s="655">
        <v>1</v>
      </c>
      <c r="D488" s="656" t="s">
        <v>2771</v>
      </c>
      <c r="E488" s="656" t="s">
        <v>1432</v>
      </c>
      <c r="I488" s="645"/>
      <c r="J488" s="645"/>
    </row>
    <row r="489" spans="1:10" x14ac:dyDescent="0.2">
      <c r="A489" s="531">
        <v>702</v>
      </c>
      <c r="B489" s="646">
        <v>4</v>
      </c>
      <c r="C489" s="655">
        <v>1</v>
      </c>
      <c r="D489" s="656" t="s">
        <v>2456</v>
      </c>
      <c r="E489" s="656" t="s">
        <v>1432</v>
      </c>
      <c r="I489" s="645"/>
      <c r="J489" s="645"/>
    </row>
    <row r="490" spans="1:10" ht="15.75" x14ac:dyDescent="0.25">
      <c r="A490" s="531">
        <v>704</v>
      </c>
      <c r="C490" s="651">
        <f>SUM(C477:C489)</f>
        <v>33</v>
      </c>
      <c r="D490" s="649"/>
      <c r="I490" s="645"/>
      <c r="J490" s="645"/>
    </row>
    <row r="491" spans="1:10" ht="15.75" x14ac:dyDescent="0.25">
      <c r="A491" s="650">
        <v>706</v>
      </c>
      <c r="C491" s="659"/>
      <c r="D491" s="649"/>
      <c r="I491" s="645"/>
      <c r="J491" s="645"/>
    </row>
    <row r="492" spans="1:10" x14ac:dyDescent="0.2">
      <c r="A492" s="650"/>
      <c r="C492" s="668"/>
      <c r="D492" s="649"/>
      <c r="I492" s="645"/>
      <c r="J492" s="645"/>
    </row>
    <row r="493" spans="1:10" ht="15.75" x14ac:dyDescent="0.25">
      <c r="A493" s="531">
        <v>708</v>
      </c>
      <c r="C493" s="647"/>
      <c r="D493" s="648" t="s">
        <v>2772</v>
      </c>
      <c r="I493" s="645"/>
      <c r="J493" s="645"/>
    </row>
    <row r="494" spans="1:10" x14ac:dyDescent="0.2">
      <c r="A494" s="531">
        <v>710</v>
      </c>
      <c r="B494" s="646">
        <v>8</v>
      </c>
      <c r="C494" s="655">
        <v>1</v>
      </c>
      <c r="D494" s="656" t="s">
        <v>2773</v>
      </c>
      <c r="E494" s="656" t="s">
        <v>2475</v>
      </c>
      <c r="I494" s="645"/>
      <c r="J494" s="645"/>
    </row>
    <row r="495" spans="1:10" x14ac:dyDescent="0.2">
      <c r="B495" s="646">
        <v>6</v>
      </c>
      <c r="C495" s="655">
        <v>1</v>
      </c>
      <c r="D495" s="656" t="s">
        <v>2774</v>
      </c>
      <c r="E495" s="656" t="s">
        <v>1431</v>
      </c>
      <c r="I495" s="645"/>
      <c r="J495" s="645"/>
    </row>
    <row r="496" spans="1:10" x14ac:dyDescent="0.2">
      <c r="A496" s="531">
        <v>712</v>
      </c>
      <c r="B496" s="646">
        <v>5</v>
      </c>
      <c r="C496" s="655">
        <v>1</v>
      </c>
      <c r="D496" s="656" t="s">
        <v>2775</v>
      </c>
      <c r="E496" s="656" t="s">
        <v>2776</v>
      </c>
      <c r="I496" s="645"/>
      <c r="J496" s="645"/>
    </row>
    <row r="497" spans="1:10" x14ac:dyDescent="0.2">
      <c r="A497" s="531">
        <v>714</v>
      </c>
      <c r="B497" s="646">
        <v>4</v>
      </c>
      <c r="C497" s="655">
        <v>1</v>
      </c>
      <c r="D497" s="656" t="s">
        <v>2456</v>
      </c>
      <c r="E497" s="656" t="s">
        <v>1432</v>
      </c>
      <c r="I497" s="645"/>
      <c r="J497" s="645"/>
    </row>
    <row r="498" spans="1:10" ht="16.5" thickBot="1" x14ac:dyDescent="0.3">
      <c r="A498" s="531">
        <v>716</v>
      </c>
      <c r="C498" s="676">
        <f>SUM(C494:C497)</f>
        <v>4</v>
      </c>
      <c r="D498" s="649"/>
      <c r="I498" s="645"/>
      <c r="J498" s="645"/>
    </row>
    <row r="499" spans="1:10" ht="15.75" x14ac:dyDescent="0.25">
      <c r="A499" s="650">
        <v>718</v>
      </c>
      <c r="C499" s="693"/>
      <c r="D499" s="649"/>
      <c r="I499" s="645"/>
      <c r="J499" s="645"/>
    </row>
    <row r="500" spans="1:10" ht="15.75" x14ac:dyDescent="0.25">
      <c r="C500" s="659"/>
      <c r="D500" s="649"/>
      <c r="I500" s="645"/>
      <c r="J500" s="645"/>
    </row>
    <row r="501" spans="1:10" ht="18" x14ac:dyDescent="0.25">
      <c r="C501" s="659"/>
      <c r="D501" s="694" t="s">
        <v>2777</v>
      </c>
      <c r="I501" s="645"/>
      <c r="J501" s="645"/>
    </row>
    <row r="502" spans="1:10" ht="15.75" x14ac:dyDescent="0.25">
      <c r="C502" s="668"/>
      <c r="D502" s="648" t="s">
        <v>2778</v>
      </c>
      <c r="E502" s="683"/>
      <c r="I502" s="645"/>
      <c r="J502" s="645"/>
    </row>
    <row r="503" spans="1:10" x14ac:dyDescent="0.2">
      <c r="A503" s="531">
        <v>722</v>
      </c>
      <c r="C503" s="653">
        <v>1</v>
      </c>
      <c r="D503" s="654" t="s">
        <v>2634</v>
      </c>
      <c r="E503" s="656"/>
      <c r="G503" s="695"/>
      <c r="H503" s="695"/>
      <c r="I503" s="645"/>
      <c r="J503" s="645"/>
    </row>
    <row r="504" spans="1:10" x14ac:dyDescent="0.2">
      <c r="A504" s="531">
        <v>724</v>
      </c>
      <c r="B504" s="647">
        <v>10</v>
      </c>
      <c r="C504" s="655">
        <v>1</v>
      </c>
      <c r="D504" s="656" t="s">
        <v>821</v>
      </c>
      <c r="E504" s="656" t="s">
        <v>1945</v>
      </c>
      <c r="G504" s="589"/>
      <c r="H504" s="589"/>
      <c r="I504" s="645"/>
      <c r="J504" s="645"/>
    </row>
    <row r="505" spans="1:10" x14ac:dyDescent="0.2">
      <c r="A505" s="531">
        <v>726</v>
      </c>
      <c r="B505" s="647">
        <v>9</v>
      </c>
      <c r="C505" s="655">
        <v>1</v>
      </c>
      <c r="D505" s="656" t="s">
        <v>2779</v>
      </c>
      <c r="E505" s="656" t="s">
        <v>1430</v>
      </c>
      <c r="G505" s="589"/>
      <c r="H505" s="589"/>
      <c r="I505" s="645"/>
      <c r="J505" s="645"/>
    </row>
    <row r="506" spans="1:10" x14ac:dyDescent="0.2">
      <c r="A506" s="531">
        <v>728</v>
      </c>
      <c r="B506" s="647">
        <v>9</v>
      </c>
      <c r="C506" s="655">
        <v>3</v>
      </c>
      <c r="D506" s="656" t="s">
        <v>2780</v>
      </c>
      <c r="E506" s="656" t="s">
        <v>2464</v>
      </c>
      <c r="G506" s="589"/>
      <c r="H506" s="589"/>
      <c r="I506" s="645"/>
      <c r="J506" s="645"/>
    </row>
    <row r="507" spans="1:10" x14ac:dyDescent="0.2">
      <c r="A507" s="531">
        <v>730</v>
      </c>
      <c r="B507" s="647">
        <v>9</v>
      </c>
      <c r="C507" s="655">
        <v>1</v>
      </c>
      <c r="D507" s="656" t="s">
        <v>2781</v>
      </c>
      <c r="E507" s="656" t="s">
        <v>2464</v>
      </c>
      <c r="G507" s="589"/>
      <c r="H507" s="589"/>
      <c r="I507" s="645"/>
      <c r="J507" s="645"/>
    </row>
    <row r="508" spans="1:10" x14ac:dyDescent="0.2">
      <c r="A508" s="531">
        <v>732</v>
      </c>
      <c r="B508" s="647">
        <v>6</v>
      </c>
      <c r="C508" s="655">
        <v>1</v>
      </c>
      <c r="D508" s="656" t="s">
        <v>2453</v>
      </c>
      <c r="E508" s="656" t="s">
        <v>1431</v>
      </c>
      <c r="G508" s="589"/>
      <c r="H508" s="589"/>
      <c r="I508" s="645"/>
      <c r="J508" s="645"/>
    </row>
    <row r="509" spans="1:10" x14ac:dyDescent="0.2">
      <c r="A509" s="531">
        <v>734</v>
      </c>
      <c r="B509" s="647">
        <v>5</v>
      </c>
      <c r="C509" s="655">
        <v>1</v>
      </c>
      <c r="D509" s="656" t="s">
        <v>2782</v>
      </c>
      <c r="E509" s="656" t="s">
        <v>2455</v>
      </c>
      <c r="G509" s="589"/>
      <c r="H509" s="589"/>
      <c r="I509" s="645"/>
      <c r="J509" s="645"/>
    </row>
    <row r="510" spans="1:10" x14ac:dyDescent="0.2">
      <c r="A510" s="531">
        <v>736</v>
      </c>
      <c r="B510" s="647">
        <v>5</v>
      </c>
      <c r="C510" s="655">
        <v>1</v>
      </c>
      <c r="D510" s="656" t="s">
        <v>2454</v>
      </c>
      <c r="E510" s="656" t="s">
        <v>2455</v>
      </c>
      <c r="G510" s="589"/>
      <c r="H510" s="589"/>
      <c r="I510" s="645"/>
      <c r="J510" s="645"/>
    </row>
    <row r="511" spans="1:10" x14ac:dyDescent="0.2">
      <c r="A511" s="531">
        <v>738</v>
      </c>
      <c r="B511" s="647">
        <v>4</v>
      </c>
      <c r="C511" s="655">
        <v>1</v>
      </c>
      <c r="D511" s="656" t="s">
        <v>2456</v>
      </c>
      <c r="E511" s="656" t="s">
        <v>1432</v>
      </c>
      <c r="G511" s="589"/>
      <c r="H511" s="589"/>
      <c r="I511" s="645"/>
      <c r="J511" s="645"/>
    </row>
    <row r="512" spans="1:10" x14ac:dyDescent="0.2">
      <c r="A512" s="531">
        <v>740</v>
      </c>
      <c r="B512" s="647">
        <v>4</v>
      </c>
      <c r="C512" s="655">
        <v>1</v>
      </c>
      <c r="D512" s="656" t="s">
        <v>2783</v>
      </c>
      <c r="E512" s="656" t="s">
        <v>2784</v>
      </c>
      <c r="G512" s="589"/>
      <c r="H512" s="589"/>
      <c r="I512" s="645"/>
      <c r="J512" s="645"/>
    </row>
    <row r="513" spans="1:10" x14ac:dyDescent="0.2">
      <c r="A513" s="531">
        <v>744</v>
      </c>
      <c r="B513" s="647">
        <v>3</v>
      </c>
      <c r="C513" s="655">
        <v>1</v>
      </c>
      <c r="D513" s="656" t="s">
        <v>2457</v>
      </c>
      <c r="E513" s="656" t="s">
        <v>2458</v>
      </c>
      <c r="G513" s="589"/>
      <c r="H513" s="589"/>
      <c r="I513" s="645"/>
      <c r="J513" s="645"/>
    </row>
    <row r="514" spans="1:10" ht="16.5" thickBot="1" x14ac:dyDescent="0.3">
      <c r="A514" s="531">
        <v>746</v>
      </c>
      <c r="B514" s="647"/>
      <c r="C514" s="677">
        <f>SUM(C503:C513)</f>
        <v>13</v>
      </c>
      <c r="I514" s="645"/>
      <c r="J514" s="645"/>
    </row>
    <row r="515" spans="1:10" ht="15.75" x14ac:dyDescent="0.25">
      <c r="A515" s="650">
        <v>748</v>
      </c>
      <c r="B515" s="647"/>
      <c r="C515" s="665"/>
      <c r="I515" s="645"/>
      <c r="J515" s="645"/>
    </row>
    <row r="516" spans="1:10" x14ac:dyDescent="0.2">
      <c r="A516" s="650"/>
      <c r="B516" s="647"/>
      <c r="I516" s="645"/>
      <c r="J516" s="645"/>
    </row>
    <row r="517" spans="1:10" ht="15.75" x14ac:dyDescent="0.25">
      <c r="A517" s="531">
        <v>750</v>
      </c>
      <c r="B517" s="647"/>
      <c r="C517" s="666"/>
      <c r="D517" s="662" t="s">
        <v>2785</v>
      </c>
      <c r="I517" s="645"/>
      <c r="J517" s="645"/>
    </row>
    <row r="518" spans="1:10" x14ac:dyDescent="0.2">
      <c r="A518" s="531">
        <v>752</v>
      </c>
      <c r="B518" s="647">
        <v>6</v>
      </c>
      <c r="C518" s="655">
        <v>2</v>
      </c>
      <c r="D518" s="656" t="s">
        <v>2786</v>
      </c>
      <c r="E518" s="656" t="s">
        <v>2787</v>
      </c>
      <c r="G518" s="589"/>
      <c r="H518" s="589"/>
      <c r="I518" s="645"/>
      <c r="J518" s="645"/>
    </row>
    <row r="519" spans="1:10" x14ac:dyDescent="0.2">
      <c r="A519" s="531">
        <v>754</v>
      </c>
      <c r="B519" s="647">
        <v>6</v>
      </c>
      <c r="C519" s="655">
        <v>8</v>
      </c>
      <c r="D519" s="656" t="s">
        <v>2788</v>
      </c>
      <c r="E519" s="656" t="s">
        <v>2789</v>
      </c>
      <c r="G519" s="589"/>
      <c r="H519" s="589"/>
      <c r="I519" s="645"/>
      <c r="J519" s="645"/>
    </row>
    <row r="520" spans="1:10" x14ac:dyDescent="0.2">
      <c r="A520" s="531">
        <v>756</v>
      </c>
      <c r="B520" s="647">
        <v>4</v>
      </c>
      <c r="C520" s="655">
        <v>8</v>
      </c>
      <c r="D520" s="656" t="s">
        <v>2790</v>
      </c>
      <c r="E520" s="656" t="s">
        <v>2791</v>
      </c>
      <c r="G520" s="589"/>
      <c r="H520" s="589"/>
      <c r="I520" s="645"/>
      <c r="J520" s="645"/>
    </row>
    <row r="521" spans="1:10" x14ac:dyDescent="0.2">
      <c r="A521" s="531">
        <v>758</v>
      </c>
      <c r="B521" s="647">
        <v>4</v>
      </c>
      <c r="C521" s="655">
        <v>8</v>
      </c>
      <c r="D521" s="656" t="s">
        <v>2792</v>
      </c>
      <c r="E521" s="656" t="s">
        <v>2793</v>
      </c>
      <c r="G521" s="589"/>
      <c r="H521" s="589"/>
      <c r="I521" s="645"/>
      <c r="J521" s="645"/>
    </row>
    <row r="522" spans="1:10" x14ac:dyDescent="0.2">
      <c r="B522" s="647">
        <v>6</v>
      </c>
      <c r="C522" s="655">
        <v>1</v>
      </c>
      <c r="D522" s="656" t="s">
        <v>2794</v>
      </c>
      <c r="E522" s="656" t="s">
        <v>1431</v>
      </c>
      <c r="G522" s="589"/>
      <c r="H522" s="589"/>
      <c r="I522" s="645"/>
      <c r="J522" s="645"/>
    </row>
    <row r="523" spans="1:10" x14ac:dyDescent="0.2">
      <c r="B523" s="647">
        <v>5</v>
      </c>
      <c r="C523" s="655">
        <v>1</v>
      </c>
      <c r="D523" s="656" t="s">
        <v>2795</v>
      </c>
      <c r="E523" s="656" t="s">
        <v>2545</v>
      </c>
      <c r="G523" s="589"/>
      <c r="H523" s="589"/>
      <c r="I523" s="645"/>
      <c r="J523" s="645"/>
    </row>
    <row r="524" spans="1:10" x14ac:dyDescent="0.2">
      <c r="B524" s="647">
        <v>5</v>
      </c>
      <c r="C524" s="655">
        <v>1</v>
      </c>
      <c r="D524" s="656" t="s">
        <v>2796</v>
      </c>
      <c r="E524" s="656" t="s">
        <v>2455</v>
      </c>
      <c r="G524" s="589"/>
      <c r="H524" s="589"/>
      <c r="I524" s="645"/>
      <c r="J524" s="645"/>
    </row>
    <row r="525" spans="1:10" x14ac:dyDescent="0.2">
      <c r="B525" s="647">
        <v>4</v>
      </c>
      <c r="C525" s="655">
        <v>0</v>
      </c>
      <c r="D525" s="656" t="s">
        <v>2797</v>
      </c>
      <c r="E525" s="656" t="s">
        <v>2784</v>
      </c>
      <c r="G525" s="589"/>
      <c r="H525" s="589"/>
      <c r="I525" s="645"/>
      <c r="J525" s="645"/>
    </row>
    <row r="526" spans="1:10" x14ac:dyDescent="0.2">
      <c r="A526" s="531">
        <v>760</v>
      </c>
      <c r="B526" s="647">
        <v>1</v>
      </c>
      <c r="C526" s="655">
        <v>1</v>
      </c>
      <c r="D526" s="656" t="s">
        <v>2798</v>
      </c>
      <c r="E526" s="656" t="s">
        <v>2471</v>
      </c>
      <c r="G526" s="589"/>
      <c r="H526" s="589"/>
      <c r="I526" s="645"/>
      <c r="J526" s="645"/>
    </row>
    <row r="527" spans="1:10" x14ac:dyDescent="0.2">
      <c r="A527" s="531">
        <v>764</v>
      </c>
      <c r="B527" s="647">
        <v>3</v>
      </c>
      <c r="C527" s="655">
        <v>2</v>
      </c>
      <c r="D527" s="656" t="s">
        <v>2457</v>
      </c>
      <c r="E527" s="656" t="s">
        <v>2458</v>
      </c>
      <c r="G527" s="589"/>
      <c r="H527" s="589"/>
      <c r="I527" s="645"/>
      <c r="J527" s="645"/>
    </row>
    <row r="528" spans="1:10" ht="16.5" thickBot="1" x14ac:dyDescent="0.3">
      <c r="A528" s="650"/>
      <c r="B528" s="647"/>
      <c r="C528" s="641">
        <f>SUM(C518:C527)</f>
        <v>32</v>
      </c>
      <c r="I528" s="645"/>
      <c r="J528" s="645"/>
    </row>
    <row r="529" spans="1:10" ht="15.75" x14ac:dyDescent="0.25">
      <c r="A529" s="531">
        <v>770</v>
      </c>
      <c r="B529" s="647"/>
      <c r="C529" s="658"/>
      <c r="I529" s="645"/>
      <c r="J529" s="645"/>
    </row>
    <row r="530" spans="1:10" ht="15.75" x14ac:dyDescent="0.25">
      <c r="A530" s="531">
        <v>772</v>
      </c>
      <c r="B530" s="647"/>
      <c r="C530" s="665"/>
      <c r="D530" s="669" t="s">
        <v>9</v>
      </c>
      <c r="I530" s="645"/>
      <c r="J530" s="645"/>
    </row>
    <row r="531" spans="1:10" x14ac:dyDescent="0.2">
      <c r="B531" s="647"/>
      <c r="C531" s="696">
        <v>2</v>
      </c>
      <c r="D531" s="656" t="s">
        <v>2799</v>
      </c>
      <c r="I531" s="645"/>
      <c r="J531" s="645"/>
    </row>
    <row r="532" spans="1:10" ht="15.75" x14ac:dyDescent="0.25">
      <c r="B532" s="647"/>
      <c r="C532" s="697">
        <f>SUM(C531)</f>
        <v>2</v>
      </c>
      <c r="D532" s="650"/>
      <c r="I532" s="645"/>
      <c r="J532" s="645"/>
    </row>
    <row r="533" spans="1:10" ht="15.75" x14ac:dyDescent="0.25">
      <c r="B533" s="647"/>
      <c r="C533" s="665"/>
      <c r="I533" s="645"/>
      <c r="J533" s="645"/>
    </row>
    <row r="534" spans="1:10" ht="15.75" x14ac:dyDescent="0.25">
      <c r="B534" s="647"/>
      <c r="D534" s="662" t="s">
        <v>2800</v>
      </c>
      <c r="I534" s="645"/>
      <c r="J534" s="645"/>
    </row>
    <row r="535" spans="1:10" x14ac:dyDescent="0.2">
      <c r="A535" s="650">
        <v>774</v>
      </c>
      <c r="B535" s="646">
        <v>9</v>
      </c>
      <c r="C535" s="655">
        <v>1</v>
      </c>
      <c r="D535" s="656" t="s">
        <v>2801</v>
      </c>
      <c r="E535" s="657" t="s">
        <v>1947</v>
      </c>
      <c r="I535" s="645"/>
      <c r="J535" s="645"/>
    </row>
    <row r="536" spans="1:10" x14ac:dyDescent="0.2">
      <c r="A536" s="650">
        <v>776</v>
      </c>
      <c r="B536" s="646">
        <v>8</v>
      </c>
      <c r="C536" s="655">
        <v>1</v>
      </c>
      <c r="D536" s="656" t="s">
        <v>2802</v>
      </c>
      <c r="E536" s="657" t="s">
        <v>2803</v>
      </c>
      <c r="I536" s="645"/>
      <c r="J536" s="645"/>
    </row>
    <row r="537" spans="1:10" x14ac:dyDescent="0.2">
      <c r="A537" s="650">
        <v>778</v>
      </c>
      <c r="B537" s="646">
        <v>7</v>
      </c>
      <c r="C537" s="655">
        <v>23</v>
      </c>
      <c r="D537" s="656" t="s">
        <v>2804</v>
      </c>
      <c r="E537" s="657" t="s">
        <v>2789</v>
      </c>
      <c r="I537" s="645"/>
      <c r="J537" s="645"/>
    </row>
    <row r="538" spans="1:10" x14ac:dyDescent="0.2">
      <c r="A538" s="650">
        <v>780</v>
      </c>
      <c r="B538" s="646">
        <v>4</v>
      </c>
      <c r="C538" s="655">
        <v>2</v>
      </c>
      <c r="D538" s="656" t="s">
        <v>2805</v>
      </c>
      <c r="E538" s="657" t="s">
        <v>2791</v>
      </c>
      <c r="I538" s="645"/>
      <c r="J538" s="645"/>
    </row>
    <row r="539" spans="1:10" x14ac:dyDescent="0.2">
      <c r="A539" s="650">
        <v>782</v>
      </c>
      <c r="B539" s="646">
        <v>4</v>
      </c>
      <c r="C539" s="655">
        <v>1</v>
      </c>
      <c r="D539" s="656" t="s">
        <v>2806</v>
      </c>
      <c r="E539" s="657" t="s">
        <v>2793</v>
      </c>
      <c r="I539" s="645"/>
      <c r="J539" s="645"/>
    </row>
    <row r="540" spans="1:10" x14ac:dyDescent="0.2">
      <c r="A540" s="650">
        <v>784</v>
      </c>
      <c r="B540" s="646">
        <v>4</v>
      </c>
      <c r="C540" s="655">
        <v>1</v>
      </c>
      <c r="D540" s="656" t="s">
        <v>2807</v>
      </c>
      <c r="E540" s="657" t="s">
        <v>2735</v>
      </c>
      <c r="I540" s="645"/>
      <c r="J540" s="645"/>
    </row>
    <row r="541" spans="1:10" x14ac:dyDescent="0.2">
      <c r="A541" s="650">
        <v>786</v>
      </c>
      <c r="B541" s="646">
        <v>5</v>
      </c>
      <c r="C541" s="655">
        <v>6</v>
      </c>
      <c r="D541" s="656" t="s">
        <v>2808</v>
      </c>
      <c r="E541" s="657" t="s">
        <v>2455</v>
      </c>
      <c r="I541" s="645"/>
      <c r="J541" s="645"/>
    </row>
    <row r="542" spans="1:10" x14ac:dyDescent="0.2">
      <c r="A542" s="650"/>
      <c r="B542" s="646">
        <v>6</v>
      </c>
      <c r="C542" s="655">
        <v>1</v>
      </c>
      <c r="D542" s="656" t="s">
        <v>2809</v>
      </c>
      <c r="E542" s="657" t="s">
        <v>1431</v>
      </c>
      <c r="I542" s="645"/>
      <c r="J542" s="645"/>
    </row>
    <row r="543" spans="1:10" x14ac:dyDescent="0.2">
      <c r="A543" s="650"/>
      <c r="B543" s="646">
        <v>6</v>
      </c>
      <c r="C543" s="655">
        <v>1</v>
      </c>
      <c r="D543" s="656" t="s">
        <v>2810</v>
      </c>
      <c r="E543" s="657" t="s">
        <v>1431</v>
      </c>
      <c r="I543" s="645"/>
      <c r="J543" s="645"/>
    </row>
    <row r="544" spans="1:10" x14ac:dyDescent="0.2">
      <c r="A544" s="650">
        <v>788</v>
      </c>
      <c r="B544" s="646">
        <v>6</v>
      </c>
      <c r="C544" s="655">
        <v>1</v>
      </c>
      <c r="D544" s="656" t="s">
        <v>2794</v>
      </c>
      <c r="E544" s="657" t="s">
        <v>1431</v>
      </c>
      <c r="I544" s="645"/>
      <c r="J544" s="645"/>
    </row>
    <row r="545" spans="1:10" x14ac:dyDescent="0.2">
      <c r="A545" s="650">
        <v>790</v>
      </c>
      <c r="B545" s="646">
        <v>5</v>
      </c>
      <c r="C545" s="655">
        <v>1</v>
      </c>
      <c r="D545" s="656" t="s">
        <v>2811</v>
      </c>
      <c r="E545" s="657" t="s">
        <v>2455</v>
      </c>
      <c r="I545" s="645"/>
      <c r="J545" s="645"/>
    </row>
    <row r="546" spans="1:10" x14ac:dyDescent="0.2">
      <c r="A546" s="650">
        <v>792</v>
      </c>
      <c r="B546" s="646">
        <v>4</v>
      </c>
      <c r="C546" s="655">
        <v>1</v>
      </c>
      <c r="D546" s="656" t="s">
        <v>2454</v>
      </c>
      <c r="E546" s="657" t="s">
        <v>2455</v>
      </c>
      <c r="I546" s="645"/>
      <c r="J546" s="645"/>
    </row>
    <row r="547" spans="1:10" x14ac:dyDescent="0.2">
      <c r="A547" s="650">
        <v>794</v>
      </c>
      <c r="B547" s="646">
        <v>3</v>
      </c>
      <c r="C547" s="655">
        <v>0</v>
      </c>
      <c r="D547" s="656" t="s">
        <v>2457</v>
      </c>
      <c r="E547" s="657" t="s">
        <v>2458</v>
      </c>
      <c r="I547" s="645"/>
      <c r="J547" s="645"/>
    </row>
    <row r="548" spans="1:10" x14ac:dyDescent="0.2">
      <c r="A548" s="650">
        <v>796</v>
      </c>
      <c r="B548" s="646">
        <v>3</v>
      </c>
      <c r="C548" s="655">
        <v>1</v>
      </c>
      <c r="D548" s="656" t="s">
        <v>2731</v>
      </c>
      <c r="E548" s="657" t="s">
        <v>2458</v>
      </c>
      <c r="I548" s="645"/>
      <c r="J548" s="645"/>
    </row>
    <row r="549" spans="1:10" x14ac:dyDescent="0.2">
      <c r="A549" s="650">
        <v>798</v>
      </c>
      <c r="B549" s="646">
        <v>1</v>
      </c>
      <c r="C549" s="655">
        <v>1</v>
      </c>
      <c r="D549" s="656" t="s">
        <v>2798</v>
      </c>
      <c r="E549" s="657" t="s">
        <v>2471</v>
      </c>
      <c r="I549" s="645"/>
      <c r="J549" s="645"/>
    </row>
    <row r="550" spans="1:10" x14ac:dyDescent="0.2">
      <c r="A550" s="650">
        <v>800</v>
      </c>
      <c r="B550" s="646">
        <v>1</v>
      </c>
      <c r="C550" s="655">
        <v>1</v>
      </c>
      <c r="D550" s="656" t="s">
        <v>2470</v>
      </c>
      <c r="E550" s="657" t="s">
        <v>2471</v>
      </c>
      <c r="I550" s="645"/>
      <c r="J550" s="645"/>
    </row>
    <row r="551" spans="1:10" ht="16.5" thickBot="1" x14ac:dyDescent="0.3">
      <c r="A551" s="531">
        <v>802</v>
      </c>
      <c r="C551" s="687">
        <f>SUM(C535:C550)</f>
        <v>43</v>
      </c>
      <c r="I551" s="645"/>
      <c r="J551" s="645"/>
    </row>
    <row r="552" spans="1:10" x14ac:dyDescent="0.2">
      <c r="A552" s="531">
        <v>804</v>
      </c>
      <c r="C552" s="698"/>
      <c r="I552" s="645"/>
      <c r="J552" s="645"/>
    </row>
    <row r="553" spans="1:10" ht="15.75" x14ac:dyDescent="0.25">
      <c r="A553" s="650">
        <v>806</v>
      </c>
      <c r="C553" s="698"/>
      <c r="D553" s="669" t="s">
        <v>9</v>
      </c>
      <c r="I553" s="645"/>
      <c r="J553" s="645"/>
    </row>
    <row r="554" spans="1:10" x14ac:dyDescent="0.2">
      <c r="A554" s="650"/>
      <c r="B554" s="646">
        <v>5</v>
      </c>
      <c r="C554" s="699">
        <v>1</v>
      </c>
      <c r="D554" s="656" t="s">
        <v>2812</v>
      </c>
      <c r="E554" s="656" t="s">
        <v>2545</v>
      </c>
      <c r="I554" s="645"/>
      <c r="J554" s="645"/>
    </row>
    <row r="555" spans="1:10" x14ac:dyDescent="0.2">
      <c r="A555" s="650"/>
      <c r="B555" s="646">
        <v>4</v>
      </c>
      <c r="C555" s="699">
        <v>2</v>
      </c>
      <c r="D555" s="656" t="s">
        <v>2807</v>
      </c>
      <c r="E555" s="656" t="s">
        <v>2735</v>
      </c>
      <c r="I555" s="645"/>
      <c r="J555" s="645"/>
    </row>
    <row r="556" spans="1:10" x14ac:dyDescent="0.2">
      <c r="A556" s="650"/>
      <c r="B556" s="646">
        <v>4</v>
      </c>
      <c r="C556" s="699">
        <v>1</v>
      </c>
      <c r="D556" s="656" t="s">
        <v>2813</v>
      </c>
      <c r="E556" s="656" t="s">
        <v>2791</v>
      </c>
      <c r="I556" s="645"/>
      <c r="J556" s="645"/>
    </row>
    <row r="557" spans="1:10" x14ac:dyDescent="0.2">
      <c r="A557" s="650"/>
      <c r="B557" s="646">
        <v>4</v>
      </c>
      <c r="C557" s="699">
        <v>1</v>
      </c>
      <c r="D557" s="656" t="s">
        <v>2814</v>
      </c>
      <c r="E557" s="656" t="s">
        <v>2791</v>
      </c>
      <c r="I557" s="645"/>
      <c r="J557" s="645"/>
    </row>
    <row r="558" spans="1:10" x14ac:dyDescent="0.2">
      <c r="A558" s="650"/>
      <c r="B558" s="646">
        <v>4</v>
      </c>
      <c r="C558" s="699">
        <v>1</v>
      </c>
      <c r="D558" s="656" t="s">
        <v>2815</v>
      </c>
      <c r="E558" s="656" t="s">
        <v>2735</v>
      </c>
      <c r="I558" s="645"/>
      <c r="J558" s="645"/>
    </row>
    <row r="559" spans="1:10" ht="16.5" thickBot="1" x14ac:dyDescent="0.3">
      <c r="A559" s="650"/>
      <c r="C559" s="687">
        <f>SUM(C554:C558)</f>
        <v>6</v>
      </c>
      <c r="D559" s="680"/>
      <c r="I559" s="645"/>
      <c r="J559" s="645"/>
    </row>
    <row r="560" spans="1:10" x14ac:dyDescent="0.2">
      <c r="A560" s="650"/>
      <c r="C560" s="684"/>
      <c r="D560" s="680"/>
      <c r="I560" s="645"/>
      <c r="J560" s="645"/>
    </row>
    <row r="561" spans="1:10" ht="15.75" x14ac:dyDescent="0.25">
      <c r="D561" s="662" t="s">
        <v>2816</v>
      </c>
      <c r="I561" s="645"/>
      <c r="J561" s="645"/>
    </row>
    <row r="562" spans="1:10" x14ac:dyDescent="0.2">
      <c r="A562" s="650">
        <v>810</v>
      </c>
      <c r="B562" s="646">
        <v>6</v>
      </c>
      <c r="C562" s="655">
        <v>1</v>
      </c>
      <c r="D562" s="656" t="s">
        <v>2817</v>
      </c>
      <c r="E562" s="656" t="s">
        <v>2566</v>
      </c>
      <c r="I562" s="645"/>
      <c r="J562" s="645"/>
    </row>
    <row r="563" spans="1:10" x14ac:dyDescent="0.2">
      <c r="A563" s="650">
        <v>812</v>
      </c>
      <c r="B563" s="646">
        <v>5</v>
      </c>
      <c r="C563" s="655">
        <v>1</v>
      </c>
      <c r="D563" s="656" t="s">
        <v>2818</v>
      </c>
      <c r="E563" s="656" t="s">
        <v>2455</v>
      </c>
      <c r="I563" s="645"/>
      <c r="J563" s="645"/>
    </row>
    <row r="564" spans="1:10" x14ac:dyDescent="0.2">
      <c r="A564" s="650">
        <v>814</v>
      </c>
      <c r="B564" s="646">
        <v>4</v>
      </c>
      <c r="C564" s="655">
        <v>1</v>
      </c>
      <c r="D564" s="656" t="s">
        <v>2819</v>
      </c>
      <c r="E564" s="656" t="s">
        <v>1432</v>
      </c>
      <c r="I564" s="645"/>
      <c r="J564" s="645"/>
    </row>
    <row r="565" spans="1:10" x14ac:dyDescent="0.2">
      <c r="A565" s="650">
        <v>816</v>
      </c>
      <c r="B565" s="646">
        <v>3</v>
      </c>
      <c r="C565" s="655">
        <v>1</v>
      </c>
      <c r="D565" s="656" t="s">
        <v>2457</v>
      </c>
      <c r="E565" s="656" t="s">
        <v>2458</v>
      </c>
      <c r="I565" s="645"/>
      <c r="J565" s="645"/>
    </row>
    <row r="566" spans="1:10" ht="15.75" x14ac:dyDescent="0.25">
      <c r="A566" s="650">
        <v>818</v>
      </c>
      <c r="C566" s="641">
        <f>SUM(C562:C565)</f>
        <v>4</v>
      </c>
      <c r="I566" s="645"/>
      <c r="J566" s="645"/>
    </row>
    <row r="567" spans="1:10" ht="15.75" x14ac:dyDescent="0.25">
      <c r="A567" s="531">
        <v>820</v>
      </c>
      <c r="C567" s="665"/>
      <c r="I567" s="645"/>
      <c r="J567" s="645"/>
    </row>
    <row r="568" spans="1:10" ht="15.75" x14ac:dyDescent="0.25">
      <c r="C568" s="666"/>
      <c r="D568" s="662" t="s">
        <v>2820</v>
      </c>
      <c r="I568" s="645"/>
      <c r="J568" s="645"/>
    </row>
    <row r="569" spans="1:10" x14ac:dyDescent="0.2">
      <c r="A569" s="650">
        <v>822</v>
      </c>
      <c r="B569" s="646">
        <v>5</v>
      </c>
      <c r="C569" s="699">
        <v>3</v>
      </c>
      <c r="D569" s="656" t="s">
        <v>2821</v>
      </c>
      <c r="E569" s="656" t="s">
        <v>2545</v>
      </c>
      <c r="I569" s="645"/>
      <c r="J569" s="645"/>
    </row>
    <row r="570" spans="1:10" x14ac:dyDescent="0.2">
      <c r="A570" s="650">
        <v>824</v>
      </c>
      <c r="B570" s="646">
        <v>4</v>
      </c>
      <c r="C570" s="699">
        <v>2</v>
      </c>
      <c r="D570" s="656" t="s">
        <v>2822</v>
      </c>
      <c r="E570" s="656" t="s">
        <v>1432</v>
      </c>
      <c r="I570" s="645"/>
      <c r="J570" s="645"/>
    </row>
    <row r="571" spans="1:10" x14ac:dyDescent="0.2">
      <c r="A571" s="650">
        <v>826</v>
      </c>
      <c r="B571" s="646">
        <v>1</v>
      </c>
      <c r="C571" s="699">
        <v>3</v>
      </c>
      <c r="D571" s="656" t="s">
        <v>2823</v>
      </c>
      <c r="E571" s="656" t="s">
        <v>2793</v>
      </c>
      <c r="I571" s="645"/>
      <c r="J571" s="645"/>
    </row>
    <row r="572" spans="1:10" x14ac:dyDescent="0.2">
      <c r="A572" s="650">
        <v>828</v>
      </c>
      <c r="B572" s="646">
        <v>1</v>
      </c>
      <c r="C572" s="699">
        <v>12</v>
      </c>
      <c r="D572" s="656" t="s">
        <v>2824</v>
      </c>
      <c r="E572" s="656" t="s">
        <v>2825</v>
      </c>
      <c r="I572" s="645"/>
      <c r="J572" s="645"/>
    </row>
    <row r="573" spans="1:10" x14ac:dyDescent="0.2">
      <c r="A573" s="650">
        <v>830</v>
      </c>
      <c r="B573" s="646">
        <v>1</v>
      </c>
      <c r="C573" s="699">
        <v>2</v>
      </c>
      <c r="D573" s="656" t="s">
        <v>2826</v>
      </c>
      <c r="E573" s="656" t="s">
        <v>2825</v>
      </c>
      <c r="I573" s="645"/>
      <c r="J573" s="645"/>
    </row>
    <row r="574" spans="1:10" x14ac:dyDescent="0.2">
      <c r="A574" s="650"/>
      <c r="B574" s="646">
        <v>1</v>
      </c>
      <c r="C574" s="699">
        <v>1</v>
      </c>
      <c r="D574" s="656" t="s">
        <v>2827</v>
      </c>
      <c r="E574" s="656" t="s">
        <v>2825</v>
      </c>
      <c r="I574" s="645"/>
      <c r="J574" s="645"/>
    </row>
    <row r="575" spans="1:10" x14ac:dyDescent="0.2">
      <c r="A575" s="650"/>
      <c r="B575" s="646">
        <v>1</v>
      </c>
      <c r="C575" s="699">
        <v>3</v>
      </c>
      <c r="D575" s="656" t="s">
        <v>2828</v>
      </c>
      <c r="E575" s="656" t="s">
        <v>2471</v>
      </c>
      <c r="I575" s="645"/>
      <c r="J575" s="645"/>
    </row>
    <row r="576" spans="1:10" ht="16.5" thickBot="1" x14ac:dyDescent="0.3">
      <c r="A576" s="531">
        <v>832</v>
      </c>
      <c r="C576" s="700">
        <f>SUM(C569:C575)</f>
        <v>26</v>
      </c>
      <c r="I576" s="645"/>
      <c r="J576" s="645"/>
    </row>
    <row r="577" spans="1:11" x14ac:dyDescent="0.2">
      <c r="A577" s="531">
        <v>834</v>
      </c>
      <c r="C577" s="664"/>
      <c r="I577" s="645"/>
      <c r="J577" s="645"/>
    </row>
    <row r="578" spans="1:11" x14ac:dyDescent="0.2">
      <c r="A578" s="650"/>
      <c r="C578" s="666"/>
      <c r="I578" s="645"/>
      <c r="J578" s="645"/>
    </row>
    <row r="579" spans="1:11" ht="15.75" x14ac:dyDescent="0.2">
      <c r="A579" s="650"/>
      <c r="C579" s="701" t="s">
        <v>2829</v>
      </c>
      <c r="D579" s="702"/>
      <c r="E579" s="649"/>
      <c r="I579" s="645"/>
      <c r="J579" s="645"/>
    </row>
    <row r="580" spans="1:11" x14ac:dyDescent="0.2">
      <c r="A580" s="650"/>
      <c r="B580" s="646">
        <v>8</v>
      </c>
      <c r="C580" s="699">
        <v>1</v>
      </c>
      <c r="D580" s="656" t="s">
        <v>2830</v>
      </c>
      <c r="E580" s="656" t="s">
        <v>2475</v>
      </c>
      <c r="I580" s="645"/>
      <c r="J580" s="645"/>
    </row>
    <row r="581" spans="1:11" x14ac:dyDescent="0.2">
      <c r="A581" s="650"/>
      <c r="B581" s="646">
        <v>6</v>
      </c>
      <c r="C581" s="699">
        <v>1</v>
      </c>
      <c r="D581" s="656" t="s">
        <v>2831</v>
      </c>
      <c r="E581" s="656" t="s">
        <v>1431</v>
      </c>
      <c r="I581" s="645"/>
      <c r="J581" s="645"/>
    </row>
    <row r="582" spans="1:11" x14ac:dyDescent="0.2">
      <c r="A582" s="650"/>
      <c r="B582" s="646">
        <v>4</v>
      </c>
      <c r="C582" s="699">
        <v>4</v>
      </c>
      <c r="D582" s="656" t="s">
        <v>2832</v>
      </c>
      <c r="E582" s="656" t="s">
        <v>1432</v>
      </c>
      <c r="I582" s="645"/>
      <c r="J582" s="645"/>
    </row>
    <row r="583" spans="1:11" x14ac:dyDescent="0.2">
      <c r="A583" s="650"/>
      <c r="B583" s="646">
        <v>3</v>
      </c>
      <c r="C583" s="699">
        <v>1</v>
      </c>
      <c r="D583" s="656" t="s">
        <v>2833</v>
      </c>
      <c r="E583" s="656" t="s">
        <v>2458</v>
      </c>
      <c r="I583" s="645"/>
      <c r="J583" s="645"/>
    </row>
    <row r="584" spans="1:11" x14ac:dyDescent="0.2">
      <c r="A584" s="650"/>
      <c r="B584" s="646">
        <v>4</v>
      </c>
      <c r="C584" s="699">
        <v>1</v>
      </c>
      <c r="D584" s="656" t="s">
        <v>2456</v>
      </c>
      <c r="E584" s="656" t="s">
        <v>1432</v>
      </c>
      <c r="I584" s="645"/>
      <c r="J584" s="645"/>
    </row>
    <row r="585" spans="1:11" x14ac:dyDescent="0.2">
      <c r="A585" s="650"/>
      <c r="B585" s="646">
        <v>3</v>
      </c>
      <c r="C585" s="699">
        <v>1</v>
      </c>
      <c r="D585" s="656" t="s">
        <v>2457</v>
      </c>
      <c r="E585" s="656" t="s">
        <v>2458</v>
      </c>
      <c r="I585" s="645"/>
      <c r="J585" s="645"/>
    </row>
    <row r="586" spans="1:11" x14ac:dyDescent="0.2">
      <c r="A586" s="650"/>
      <c r="B586" s="646">
        <v>1</v>
      </c>
      <c r="C586" s="699">
        <v>1</v>
      </c>
      <c r="D586" s="656" t="s">
        <v>2470</v>
      </c>
      <c r="E586" s="656" t="s">
        <v>2471</v>
      </c>
      <c r="I586" s="645"/>
      <c r="J586" s="645"/>
    </row>
    <row r="587" spans="1:11" s="704" customFormat="1" ht="16.5" thickBot="1" x14ac:dyDescent="0.3">
      <c r="A587" s="650"/>
      <c r="B587" s="646"/>
      <c r="C587" s="661">
        <f>SUM(C580:C586)</f>
        <v>10</v>
      </c>
      <c r="D587" s="680"/>
      <c r="E587" s="649"/>
      <c r="F587" s="531"/>
      <c r="G587" s="650"/>
      <c r="H587" s="650"/>
      <c r="I587" s="703"/>
      <c r="J587" s="703"/>
      <c r="K587" s="650"/>
    </row>
    <row r="588" spans="1:11" s="704" customFormat="1" x14ac:dyDescent="0.2">
      <c r="A588" s="650"/>
      <c r="B588" s="646"/>
      <c r="C588" s="680"/>
      <c r="D588" s="680"/>
      <c r="E588" s="649"/>
      <c r="F588" s="531"/>
      <c r="G588" s="650"/>
      <c r="H588" s="650"/>
      <c r="I588" s="703"/>
      <c r="J588" s="703"/>
      <c r="K588" s="650"/>
    </row>
    <row r="589" spans="1:11" s="704" customFormat="1" x14ac:dyDescent="0.2">
      <c r="A589" s="650"/>
      <c r="B589" s="646"/>
      <c r="C589" s="666"/>
      <c r="D589" s="657"/>
      <c r="E589" s="657"/>
      <c r="F589" s="650"/>
      <c r="G589" s="650"/>
      <c r="H589" s="650"/>
      <c r="I589" s="703"/>
      <c r="J589" s="703"/>
      <c r="K589" s="650"/>
    </row>
    <row r="590" spans="1:11" ht="15.75" x14ac:dyDescent="0.25">
      <c r="A590" s="650"/>
      <c r="C590" s="666"/>
      <c r="D590" s="705" t="s">
        <v>2834</v>
      </c>
      <c r="E590" s="706"/>
      <c r="F590" s="650"/>
      <c r="I590" s="645"/>
      <c r="J590" s="645"/>
    </row>
    <row r="591" spans="1:11" ht="15.75" x14ac:dyDescent="0.25">
      <c r="A591" s="650"/>
      <c r="D591" s="662" t="s">
        <v>2835</v>
      </c>
      <c r="F591" s="650"/>
      <c r="G591" s="706"/>
      <c r="H591" s="707"/>
      <c r="J591" s="645"/>
    </row>
    <row r="592" spans="1:11" x14ac:dyDescent="0.2">
      <c r="A592" s="531">
        <v>838</v>
      </c>
      <c r="B592" s="646">
        <v>10</v>
      </c>
      <c r="C592" s="655">
        <v>1</v>
      </c>
      <c r="D592" s="708" t="s">
        <v>821</v>
      </c>
      <c r="E592" s="656" t="s">
        <v>1945</v>
      </c>
      <c r="I592" s="645"/>
      <c r="J592" s="645"/>
    </row>
    <row r="593" spans="1:10" x14ac:dyDescent="0.2">
      <c r="B593" s="646">
        <v>8</v>
      </c>
      <c r="C593" s="655">
        <v>1</v>
      </c>
      <c r="D593" s="708" t="s">
        <v>2836</v>
      </c>
      <c r="E593" s="656" t="s">
        <v>2475</v>
      </c>
      <c r="I593" s="645"/>
      <c r="J593" s="645"/>
    </row>
    <row r="594" spans="1:10" x14ac:dyDescent="0.2">
      <c r="A594" s="531">
        <v>842</v>
      </c>
      <c r="B594" s="646">
        <v>6</v>
      </c>
      <c r="C594" s="655">
        <v>2</v>
      </c>
      <c r="D594" s="708" t="s">
        <v>2453</v>
      </c>
      <c r="E594" s="656" t="s">
        <v>1431</v>
      </c>
      <c r="I594" s="645"/>
      <c r="J594" s="645"/>
    </row>
    <row r="595" spans="1:10" x14ac:dyDescent="0.2">
      <c r="A595" s="531">
        <v>844</v>
      </c>
      <c r="B595" s="646">
        <v>5</v>
      </c>
      <c r="C595" s="655">
        <v>1</v>
      </c>
      <c r="D595" s="708" t="s">
        <v>2837</v>
      </c>
      <c r="E595" s="656" t="s">
        <v>2455</v>
      </c>
      <c r="I595" s="645"/>
      <c r="J595" s="645"/>
    </row>
    <row r="596" spans="1:10" x14ac:dyDescent="0.2">
      <c r="A596" s="531">
        <v>846</v>
      </c>
      <c r="B596" s="646">
        <v>4</v>
      </c>
      <c r="C596" s="655">
        <v>2</v>
      </c>
      <c r="D596" s="708" t="s">
        <v>2456</v>
      </c>
      <c r="E596" s="656" t="s">
        <v>1432</v>
      </c>
      <c r="I596" s="645"/>
      <c r="J596" s="645"/>
    </row>
    <row r="597" spans="1:10" x14ac:dyDescent="0.2">
      <c r="A597" s="531">
        <v>848</v>
      </c>
      <c r="B597" s="646">
        <v>3</v>
      </c>
      <c r="C597" s="655">
        <v>1</v>
      </c>
      <c r="D597" s="708" t="s">
        <v>2457</v>
      </c>
      <c r="E597" s="656" t="s">
        <v>2458</v>
      </c>
      <c r="I597" s="645"/>
      <c r="J597" s="645"/>
    </row>
    <row r="598" spans="1:10" ht="16.5" thickBot="1" x14ac:dyDescent="0.3">
      <c r="C598" s="641">
        <f>SUM(C592:C597)</f>
        <v>8</v>
      </c>
      <c r="I598" s="645"/>
      <c r="J598" s="645"/>
    </row>
    <row r="599" spans="1:10" ht="15.75" x14ac:dyDescent="0.25">
      <c r="A599" s="531">
        <v>852</v>
      </c>
      <c r="C599" s="658"/>
      <c r="I599" s="645"/>
      <c r="J599" s="645"/>
    </row>
    <row r="600" spans="1:10" ht="15.75" x14ac:dyDescent="0.25">
      <c r="A600" s="650">
        <v>854</v>
      </c>
      <c r="D600" s="662" t="s">
        <v>2838</v>
      </c>
      <c r="I600" s="645"/>
      <c r="J600" s="645"/>
    </row>
    <row r="601" spans="1:10" x14ac:dyDescent="0.2">
      <c r="A601" s="531">
        <v>856</v>
      </c>
      <c r="B601" s="646">
        <v>8</v>
      </c>
      <c r="C601" s="655">
        <v>1</v>
      </c>
      <c r="D601" s="708" t="s">
        <v>2839</v>
      </c>
      <c r="E601" s="656" t="s">
        <v>2464</v>
      </c>
      <c r="I601" s="645"/>
      <c r="J601" s="645"/>
    </row>
    <row r="602" spans="1:10" x14ac:dyDescent="0.2">
      <c r="A602" s="531">
        <v>858</v>
      </c>
      <c r="B602" s="646">
        <v>8</v>
      </c>
      <c r="C602" s="655">
        <v>1</v>
      </c>
      <c r="D602" s="708" t="s">
        <v>2840</v>
      </c>
      <c r="E602" s="656" t="s">
        <v>2841</v>
      </c>
      <c r="I602" s="645"/>
      <c r="J602" s="645"/>
    </row>
    <row r="603" spans="1:10" x14ac:dyDescent="0.2">
      <c r="A603" s="531">
        <v>860</v>
      </c>
      <c r="B603" s="646">
        <v>8</v>
      </c>
      <c r="C603" s="655">
        <v>1</v>
      </c>
      <c r="D603" s="708" t="s">
        <v>2842</v>
      </c>
      <c r="E603" s="656" t="s">
        <v>2464</v>
      </c>
      <c r="I603" s="645"/>
      <c r="J603" s="645"/>
    </row>
    <row r="604" spans="1:10" x14ac:dyDescent="0.2">
      <c r="A604" s="531">
        <v>862</v>
      </c>
      <c r="B604" s="646">
        <v>7</v>
      </c>
      <c r="C604" s="655">
        <v>1</v>
      </c>
      <c r="D604" s="708" t="s">
        <v>2843</v>
      </c>
      <c r="E604" s="656" t="s">
        <v>2439</v>
      </c>
      <c r="I604" s="645"/>
      <c r="J604" s="645"/>
    </row>
    <row r="605" spans="1:10" x14ac:dyDescent="0.2">
      <c r="A605" s="531">
        <v>864</v>
      </c>
      <c r="B605" s="646">
        <v>6</v>
      </c>
      <c r="C605" s="655">
        <v>1</v>
      </c>
      <c r="D605" s="708" t="s">
        <v>2844</v>
      </c>
      <c r="E605" s="656" t="s">
        <v>2845</v>
      </c>
      <c r="I605" s="645"/>
      <c r="J605" s="645"/>
    </row>
    <row r="606" spans="1:10" x14ac:dyDescent="0.2">
      <c r="A606" s="531">
        <v>866</v>
      </c>
      <c r="B606" s="646">
        <v>6</v>
      </c>
      <c r="C606" s="655">
        <v>1</v>
      </c>
      <c r="D606" s="708" t="s">
        <v>2846</v>
      </c>
      <c r="E606" s="656" t="s">
        <v>1431</v>
      </c>
      <c r="I606" s="645"/>
      <c r="J606" s="645"/>
    </row>
    <row r="607" spans="1:10" x14ac:dyDescent="0.2">
      <c r="A607" s="531">
        <v>868</v>
      </c>
      <c r="B607" s="646">
        <v>6</v>
      </c>
      <c r="C607" s="655">
        <v>1</v>
      </c>
      <c r="D607" s="708" t="s">
        <v>2847</v>
      </c>
      <c r="E607" s="656" t="s">
        <v>1431</v>
      </c>
      <c r="I607" s="645"/>
      <c r="J607" s="645"/>
    </row>
    <row r="608" spans="1:10" x14ac:dyDescent="0.2">
      <c r="A608" s="531">
        <v>870</v>
      </c>
      <c r="B608" s="646">
        <v>6</v>
      </c>
      <c r="C608" s="655">
        <v>1</v>
      </c>
      <c r="D608" s="708" t="s">
        <v>2848</v>
      </c>
      <c r="E608" s="656" t="s">
        <v>1431</v>
      </c>
      <c r="I608" s="645"/>
      <c r="J608" s="645"/>
    </row>
    <row r="609" spans="1:10" x14ac:dyDescent="0.2">
      <c r="A609" s="531">
        <v>872</v>
      </c>
      <c r="B609" s="646">
        <v>6</v>
      </c>
      <c r="C609" s="655">
        <v>1</v>
      </c>
      <c r="D609" s="708" t="s">
        <v>2849</v>
      </c>
      <c r="E609" s="656" t="s">
        <v>2441</v>
      </c>
      <c r="I609" s="645"/>
      <c r="J609" s="645"/>
    </row>
    <row r="610" spans="1:10" x14ac:dyDescent="0.2">
      <c r="A610" s="531">
        <v>874</v>
      </c>
      <c r="B610" s="646">
        <v>6</v>
      </c>
      <c r="C610" s="655">
        <v>2</v>
      </c>
      <c r="D610" s="708" t="s">
        <v>2850</v>
      </c>
      <c r="E610" s="656" t="s">
        <v>2441</v>
      </c>
      <c r="I610" s="645"/>
      <c r="J610" s="645"/>
    </row>
    <row r="611" spans="1:10" x14ac:dyDescent="0.2">
      <c r="A611" s="531">
        <v>876</v>
      </c>
      <c r="B611" s="646">
        <v>5</v>
      </c>
      <c r="C611" s="655">
        <v>1</v>
      </c>
      <c r="D611" s="708" t="s">
        <v>2851</v>
      </c>
      <c r="E611" s="656" t="s">
        <v>2455</v>
      </c>
      <c r="I611" s="645"/>
      <c r="J611" s="645"/>
    </row>
    <row r="612" spans="1:10" x14ac:dyDescent="0.2">
      <c r="A612" s="531">
        <v>878</v>
      </c>
      <c r="B612" s="646">
        <v>5</v>
      </c>
      <c r="C612" s="655">
        <v>5</v>
      </c>
      <c r="D612" s="708" t="s">
        <v>2852</v>
      </c>
      <c r="E612" s="656" t="s">
        <v>2455</v>
      </c>
      <c r="I612" s="645"/>
      <c r="J612" s="645"/>
    </row>
    <row r="613" spans="1:10" x14ac:dyDescent="0.2">
      <c r="A613" s="531">
        <v>880</v>
      </c>
      <c r="B613" s="646">
        <v>3</v>
      </c>
      <c r="C613" s="655">
        <v>2</v>
      </c>
      <c r="D613" s="708" t="s">
        <v>2853</v>
      </c>
      <c r="E613" s="656" t="s">
        <v>2854</v>
      </c>
      <c r="I613" s="645"/>
      <c r="J613" s="645"/>
    </row>
    <row r="614" spans="1:10" x14ac:dyDescent="0.2">
      <c r="A614" s="531">
        <v>882</v>
      </c>
      <c r="B614" s="646">
        <v>4</v>
      </c>
      <c r="C614" s="655">
        <v>1</v>
      </c>
      <c r="D614" s="708" t="s">
        <v>2855</v>
      </c>
      <c r="E614" s="656" t="s">
        <v>2856</v>
      </c>
      <c r="I614" s="645"/>
      <c r="J614" s="645"/>
    </row>
    <row r="615" spans="1:10" x14ac:dyDescent="0.2">
      <c r="A615" s="531">
        <v>890</v>
      </c>
      <c r="B615" s="646">
        <v>3</v>
      </c>
      <c r="C615" s="655">
        <v>1</v>
      </c>
      <c r="D615" s="708" t="s">
        <v>2857</v>
      </c>
      <c r="E615" s="656" t="s">
        <v>2858</v>
      </c>
      <c r="I615" s="645"/>
      <c r="J615" s="645"/>
    </row>
    <row r="616" spans="1:10" x14ac:dyDescent="0.2">
      <c r="B616" s="646">
        <v>3</v>
      </c>
      <c r="C616" s="655">
        <v>1</v>
      </c>
      <c r="D616" s="708" t="s">
        <v>2859</v>
      </c>
      <c r="E616" s="656" t="s">
        <v>1432</v>
      </c>
      <c r="I616" s="645"/>
      <c r="J616" s="645"/>
    </row>
    <row r="617" spans="1:10" x14ac:dyDescent="0.2">
      <c r="B617" s="646">
        <v>8</v>
      </c>
      <c r="C617" s="655">
        <v>1</v>
      </c>
      <c r="D617" s="708" t="s">
        <v>2860</v>
      </c>
      <c r="E617" s="656" t="s">
        <v>2841</v>
      </c>
      <c r="I617" s="645"/>
      <c r="J617" s="645"/>
    </row>
    <row r="618" spans="1:10" x14ac:dyDescent="0.2">
      <c r="B618" s="646">
        <v>5</v>
      </c>
      <c r="C618" s="655">
        <v>1</v>
      </c>
      <c r="D618" s="708" t="s">
        <v>2861</v>
      </c>
      <c r="E618" s="656" t="s">
        <v>2455</v>
      </c>
      <c r="I618" s="645"/>
      <c r="J618" s="645"/>
    </row>
    <row r="619" spans="1:10" x14ac:dyDescent="0.2">
      <c r="B619" s="646">
        <v>3</v>
      </c>
      <c r="C619" s="655">
        <v>2</v>
      </c>
      <c r="D619" s="708" t="s">
        <v>2862</v>
      </c>
      <c r="E619" s="656" t="s">
        <v>2863</v>
      </c>
      <c r="I619" s="645"/>
      <c r="J619" s="645"/>
    </row>
    <row r="620" spans="1:10" x14ac:dyDescent="0.2">
      <c r="B620" s="646">
        <v>3</v>
      </c>
      <c r="C620" s="655">
        <v>2</v>
      </c>
      <c r="D620" s="708" t="s">
        <v>2457</v>
      </c>
      <c r="E620" s="656" t="s">
        <v>2458</v>
      </c>
      <c r="I620" s="645"/>
      <c r="J620" s="645"/>
    </row>
    <row r="621" spans="1:10" ht="15.75" x14ac:dyDescent="0.25">
      <c r="A621" s="650"/>
      <c r="C621" s="641">
        <f>SUM(C601:C620)</f>
        <v>28</v>
      </c>
      <c r="I621" s="645"/>
      <c r="J621" s="645"/>
    </row>
    <row r="622" spans="1:10" ht="15.75" x14ac:dyDescent="0.25">
      <c r="A622" s="531">
        <v>894</v>
      </c>
      <c r="C622" s="665"/>
      <c r="I622" s="645"/>
      <c r="J622" s="645"/>
    </row>
    <row r="623" spans="1:10" ht="15.75" x14ac:dyDescent="0.25">
      <c r="C623" s="665"/>
      <c r="D623" s="669" t="s">
        <v>9</v>
      </c>
      <c r="I623" s="645"/>
      <c r="J623" s="645"/>
    </row>
    <row r="624" spans="1:10" x14ac:dyDescent="0.2">
      <c r="C624" s="655">
        <v>5</v>
      </c>
      <c r="D624" s="656" t="s">
        <v>2524</v>
      </c>
      <c r="I624" s="645"/>
      <c r="J624" s="645"/>
    </row>
    <row r="625" spans="1:10" x14ac:dyDescent="0.2">
      <c r="C625" s="655">
        <v>4</v>
      </c>
      <c r="D625" s="656" t="s">
        <v>2864</v>
      </c>
      <c r="I625" s="645"/>
      <c r="J625" s="645"/>
    </row>
    <row r="626" spans="1:10" ht="15.75" x14ac:dyDescent="0.25">
      <c r="C626" s="641">
        <f>SUM(C624:C625)</f>
        <v>9</v>
      </c>
      <c r="I626" s="645"/>
      <c r="J626" s="645"/>
    </row>
    <row r="627" spans="1:10" ht="15.75" x14ac:dyDescent="0.25">
      <c r="C627" s="665"/>
      <c r="I627" s="645"/>
      <c r="J627" s="645"/>
    </row>
    <row r="628" spans="1:10" x14ac:dyDescent="0.2">
      <c r="C628" s="666"/>
      <c r="I628" s="645"/>
      <c r="J628" s="645"/>
    </row>
    <row r="629" spans="1:10" ht="15.75" x14ac:dyDescent="0.25">
      <c r="A629" s="531">
        <v>896</v>
      </c>
      <c r="D629" s="662" t="s">
        <v>2865</v>
      </c>
      <c r="I629" s="645"/>
      <c r="J629" s="645"/>
    </row>
    <row r="630" spans="1:10" x14ac:dyDescent="0.2">
      <c r="A630" s="531">
        <v>898</v>
      </c>
      <c r="B630" s="646">
        <v>10</v>
      </c>
      <c r="C630" s="655">
        <v>1</v>
      </c>
      <c r="D630" s="656" t="s">
        <v>2866</v>
      </c>
      <c r="E630" s="656" t="s">
        <v>1942</v>
      </c>
      <c r="I630" s="645"/>
      <c r="J630" s="645"/>
    </row>
    <row r="631" spans="1:10" x14ac:dyDescent="0.2">
      <c r="A631" s="531">
        <v>900</v>
      </c>
      <c r="B631" s="646">
        <v>9</v>
      </c>
      <c r="C631" s="655">
        <v>1</v>
      </c>
      <c r="D631" s="656" t="s">
        <v>2867</v>
      </c>
      <c r="E631" s="656" t="s">
        <v>1943</v>
      </c>
      <c r="I631" s="645"/>
      <c r="J631" s="645"/>
    </row>
    <row r="632" spans="1:10" x14ac:dyDescent="0.2">
      <c r="A632" s="531">
        <v>902</v>
      </c>
      <c r="B632" s="646">
        <v>8</v>
      </c>
      <c r="C632" s="655">
        <v>1</v>
      </c>
      <c r="D632" s="656" t="s">
        <v>2868</v>
      </c>
      <c r="E632" s="656" t="s">
        <v>2841</v>
      </c>
      <c r="I632" s="645"/>
      <c r="J632" s="645"/>
    </row>
    <row r="633" spans="1:10" x14ac:dyDescent="0.2">
      <c r="A633" s="531">
        <v>904</v>
      </c>
      <c r="B633" s="646">
        <v>8</v>
      </c>
      <c r="C633" s="655">
        <v>2</v>
      </c>
      <c r="D633" s="656" t="s">
        <v>2842</v>
      </c>
      <c r="E633" s="656" t="s">
        <v>2841</v>
      </c>
      <c r="I633" s="645"/>
      <c r="J633" s="645"/>
    </row>
    <row r="634" spans="1:10" x14ac:dyDescent="0.2">
      <c r="A634" s="531">
        <v>906</v>
      </c>
      <c r="B634" s="646">
        <v>8</v>
      </c>
      <c r="C634" s="655">
        <v>1</v>
      </c>
      <c r="D634" s="656" t="s">
        <v>2869</v>
      </c>
      <c r="E634" s="656" t="s">
        <v>2464</v>
      </c>
      <c r="I634" s="645"/>
      <c r="J634" s="645"/>
    </row>
    <row r="635" spans="1:10" x14ac:dyDescent="0.2">
      <c r="A635" s="531">
        <v>908</v>
      </c>
      <c r="B635" s="646">
        <v>8</v>
      </c>
      <c r="C635" s="655">
        <v>1</v>
      </c>
      <c r="D635" s="656" t="s">
        <v>2870</v>
      </c>
      <c r="E635" s="656" t="s">
        <v>2475</v>
      </c>
      <c r="I635" s="645"/>
      <c r="J635" s="645"/>
    </row>
    <row r="636" spans="1:10" x14ac:dyDescent="0.2">
      <c r="A636" s="531">
        <v>910</v>
      </c>
      <c r="B636" s="646">
        <v>7</v>
      </c>
      <c r="C636" s="655">
        <v>1</v>
      </c>
      <c r="D636" s="656" t="s">
        <v>2871</v>
      </c>
      <c r="E636" s="656" t="s">
        <v>2872</v>
      </c>
      <c r="I636" s="645"/>
      <c r="J636" s="645"/>
    </row>
    <row r="637" spans="1:10" x14ac:dyDescent="0.2">
      <c r="A637" s="531">
        <v>912</v>
      </c>
      <c r="B637" s="646">
        <v>7</v>
      </c>
      <c r="C637" s="655">
        <v>1</v>
      </c>
      <c r="D637" s="656" t="s">
        <v>2873</v>
      </c>
      <c r="E637" s="656" t="s">
        <v>2874</v>
      </c>
      <c r="I637" s="645"/>
      <c r="J637" s="645"/>
    </row>
    <row r="638" spans="1:10" x14ac:dyDescent="0.2">
      <c r="A638" s="531">
        <v>914</v>
      </c>
      <c r="B638" s="646">
        <v>6</v>
      </c>
      <c r="C638" s="655">
        <v>1</v>
      </c>
      <c r="D638" s="656" t="s">
        <v>2875</v>
      </c>
      <c r="E638" s="656" t="s">
        <v>2441</v>
      </c>
      <c r="I638" s="645"/>
      <c r="J638" s="645"/>
    </row>
    <row r="639" spans="1:10" x14ac:dyDescent="0.2">
      <c r="A639" s="531">
        <v>916</v>
      </c>
      <c r="B639" s="646">
        <v>7</v>
      </c>
      <c r="C639" s="655">
        <v>1</v>
      </c>
      <c r="D639" s="656" t="s">
        <v>2876</v>
      </c>
      <c r="E639" s="656" t="s">
        <v>2455</v>
      </c>
      <c r="I639" s="645"/>
      <c r="J639" s="645"/>
    </row>
    <row r="640" spans="1:10" x14ac:dyDescent="0.2">
      <c r="A640" s="531">
        <v>918</v>
      </c>
      <c r="B640" s="646">
        <v>5</v>
      </c>
      <c r="C640" s="655">
        <v>3</v>
      </c>
      <c r="D640" s="656" t="s">
        <v>2877</v>
      </c>
      <c r="E640" s="656" t="s">
        <v>2878</v>
      </c>
      <c r="I640" s="645"/>
      <c r="J640" s="645"/>
    </row>
    <row r="641" spans="1:10" x14ac:dyDescent="0.2">
      <c r="A641" s="531">
        <v>924</v>
      </c>
      <c r="B641" s="646">
        <v>5</v>
      </c>
      <c r="C641" s="655">
        <v>1</v>
      </c>
      <c r="D641" s="656" t="s">
        <v>2879</v>
      </c>
      <c r="E641" s="656" t="s">
        <v>2878</v>
      </c>
      <c r="I641" s="645"/>
      <c r="J641" s="645"/>
    </row>
    <row r="642" spans="1:10" x14ac:dyDescent="0.2">
      <c r="A642" s="531">
        <v>926</v>
      </c>
      <c r="B642" s="646">
        <v>5</v>
      </c>
      <c r="C642" s="655">
        <v>8</v>
      </c>
      <c r="D642" s="656" t="s">
        <v>2880</v>
      </c>
      <c r="E642" s="656" t="s">
        <v>2455</v>
      </c>
      <c r="I642" s="645"/>
      <c r="J642" s="645"/>
    </row>
    <row r="643" spans="1:10" x14ac:dyDescent="0.2">
      <c r="A643" s="531">
        <v>964</v>
      </c>
      <c r="B643" s="646">
        <v>4</v>
      </c>
      <c r="C643" s="655">
        <v>9</v>
      </c>
      <c r="D643" s="656" t="s">
        <v>2853</v>
      </c>
      <c r="E643" s="656" t="s">
        <v>2854</v>
      </c>
      <c r="I643" s="645"/>
      <c r="J643" s="645"/>
    </row>
    <row r="644" spans="1:10" x14ac:dyDescent="0.2">
      <c r="B644" s="646">
        <v>4</v>
      </c>
      <c r="C644" s="655">
        <v>2</v>
      </c>
      <c r="D644" s="656" t="s">
        <v>2881</v>
      </c>
      <c r="E644" s="656" t="s">
        <v>2856</v>
      </c>
      <c r="I644" s="645"/>
      <c r="J644" s="645"/>
    </row>
    <row r="645" spans="1:10" x14ac:dyDescent="0.2">
      <c r="A645" s="531">
        <v>968</v>
      </c>
      <c r="B645" s="646">
        <v>3</v>
      </c>
      <c r="C645" s="655">
        <v>8</v>
      </c>
      <c r="D645" s="656" t="s">
        <v>2857</v>
      </c>
      <c r="E645" s="656" t="s">
        <v>2858</v>
      </c>
      <c r="I645" s="645"/>
      <c r="J645" s="645"/>
    </row>
    <row r="646" spans="1:10" x14ac:dyDescent="0.2">
      <c r="B646" s="646">
        <v>7</v>
      </c>
      <c r="C646" s="655">
        <v>1</v>
      </c>
      <c r="D646" s="656" t="s">
        <v>2882</v>
      </c>
      <c r="E646" s="656" t="s">
        <v>1431</v>
      </c>
      <c r="I646" s="645"/>
      <c r="J646" s="645"/>
    </row>
    <row r="647" spans="1:10" x14ac:dyDescent="0.2">
      <c r="B647" s="646">
        <v>5</v>
      </c>
      <c r="C647" s="655">
        <v>2</v>
      </c>
      <c r="D647" s="656" t="s">
        <v>2883</v>
      </c>
      <c r="E647" s="656" t="s">
        <v>2455</v>
      </c>
      <c r="I647" s="645"/>
      <c r="J647" s="645"/>
    </row>
    <row r="648" spans="1:10" x14ac:dyDescent="0.2">
      <c r="B648" s="646">
        <v>6</v>
      </c>
      <c r="C648" s="655">
        <v>1</v>
      </c>
      <c r="D648" s="656" t="s">
        <v>2884</v>
      </c>
      <c r="E648" s="656" t="s">
        <v>1431</v>
      </c>
      <c r="I648" s="645"/>
      <c r="J648" s="645"/>
    </row>
    <row r="649" spans="1:10" x14ac:dyDescent="0.2">
      <c r="B649" s="646">
        <v>5</v>
      </c>
      <c r="C649" s="655">
        <v>3</v>
      </c>
      <c r="D649" s="656" t="s">
        <v>2885</v>
      </c>
      <c r="E649" s="656" t="s">
        <v>2455</v>
      </c>
      <c r="I649" s="645"/>
      <c r="J649" s="645"/>
    </row>
    <row r="650" spans="1:10" x14ac:dyDescent="0.2">
      <c r="B650" s="646">
        <v>7</v>
      </c>
      <c r="C650" s="655">
        <v>1</v>
      </c>
      <c r="D650" s="656" t="s">
        <v>2886</v>
      </c>
      <c r="E650" s="656" t="s">
        <v>2545</v>
      </c>
      <c r="I650" s="645"/>
      <c r="J650" s="645"/>
    </row>
    <row r="651" spans="1:10" x14ac:dyDescent="0.2">
      <c r="B651" s="646">
        <v>7</v>
      </c>
      <c r="C651" s="655">
        <v>1</v>
      </c>
      <c r="D651" s="656" t="s">
        <v>2887</v>
      </c>
      <c r="E651" s="656" t="s">
        <v>1431</v>
      </c>
      <c r="I651" s="645"/>
      <c r="J651" s="645"/>
    </row>
    <row r="652" spans="1:10" x14ac:dyDescent="0.2">
      <c r="B652" s="646">
        <v>4</v>
      </c>
      <c r="C652" s="655">
        <v>2</v>
      </c>
      <c r="D652" s="656" t="s">
        <v>2456</v>
      </c>
      <c r="E652" s="656" t="s">
        <v>1432</v>
      </c>
      <c r="I652" s="645"/>
      <c r="J652" s="645"/>
    </row>
    <row r="653" spans="1:10" x14ac:dyDescent="0.2">
      <c r="B653" s="646">
        <v>3</v>
      </c>
      <c r="C653" s="655">
        <v>2</v>
      </c>
      <c r="D653" s="656" t="s">
        <v>2457</v>
      </c>
      <c r="E653" s="656" t="s">
        <v>2458</v>
      </c>
      <c r="I653" s="645"/>
      <c r="J653" s="645"/>
    </row>
    <row r="654" spans="1:10" x14ac:dyDescent="0.2">
      <c r="C654" s="655">
        <v>1</v>
      </c>
      <c r="D654" s="656" t="s">
        <v>2888</v>
      </c>
      <c r="E654" s="656" t="s">
        <v>2458</v>
      </c>
      <c r="I654" s="645"/>
      <c r="J654" s="645"/>
    </row>
    <row r="655" spans="1:10" x14ac:dyDescent="0.2">
      <c r="B655" s="646">
        <v>4</v>
      </c>
      <c r="C655" s="655">
        <v>1</v>
      </c>
      <c r="D655" s="656" t="s">
        <v>2889</v>
      </c>
      <c r="E655" s="656" t="s">
        <v>1432</v>
      </c>
      <c r="I655" s="645"/>
      <c r="J655" s="645"/>
    </row>
    <row r="656" spans="1:10" x14ac:dyDescent="0.2">
      <c r="B656" s="646">
        <v>7</v>
      </c>
      <c r="C656" s="655">
        <v>1</v>
      </c>
      <c r="D656" s="656" t="s">
        <v>2890</v>
      </c>
      <c r="E656" s="656" t="s">
        <v>1431</v>
      </c>
      <c r="I656" s="645"/>
      <c r="J656" s="645"/>
    </row>
    <row r="657" spans="1:10" x14ac:dyDescent="0.2">
      <c r="B657" s="646">
        <v>5</v>
      </c>
      <c r="C657" s="655">
        <v>1</v>
      </c>
      <c r="D657" s="656" t="s">
        <v>2837</v>
      </c>
      <c r="E657" s="656" t="s">
        <v>2455</v>
      </c>
      <c r="I657" s="645"/>
      <c r="J657" s="645"/>
    </row>
    <row r="658" spans="1:10" x14ac:dyDescent="0.2">
      <c r="C658" s="655">
        <v>1</v>
      </c>
      <c r="D658" s="656" t="s">
        <v>2891</v>
      </c>
      <c r="E658" s="656" t="s">
        <v>2455</v>
      </c>
      <c r="I658" s="645"/>
      <c r="J658" s="645"/>
    </row>
    <row r="659" spans="1:10" x14ac:dyDescent="0.2">
      <c r="B659" s="646">
        <v>3</v>
      </c>
      <c r="C659" s="655">
        <v>2</v>
      </c>
      <c r="D659" s="656" t="s">
        <v>2892</v>
      </c>
      <c r="E659" s="656" t="s">
        <v>2784</v>
      </c>
      <c r="I659" s="645"/>
      <c r="J659" s="645"/>
    </row>
    <row r="660" spans="1:10" x14ac:dyDescent="0.2">
      <c r="B660" s="646">
        <v>2</v>
      </c>
      <c r="C660" s="655">
        <v>1</v>
      </c>
      <c r="D660" s="656" t="s">
        <v>2893</v>
      </c>
      <c r="E660" s="656" t="s">
        <v>2628</v>
      </c>
      <c r="I660" s="645"/>
      <c r="J660" s="645"/>
    </row>
    <row r="661" spans="1:10" x14ac:dyDescent="0.2">
      <c r="B661" s="646">
        <v>2</v>
      </c>
      <c r="C661" s="655">
        <v>4</v>
      </c>
      <c r="D661" s="656" t="s">
        <v>2523</v>
      </c>
      <c r="E661" s="656" t="s">
        <v>2628</v>
      </c>
      <c r="I661" s="645"/>
      <c r="J661" s="645"/>
    </row>
    <row r="662" spans="1:10" x14ac:dyDescent="0.2">
      <c r="C662" s="655">
        <v>1</v>
      </c>
      <c r="D662" s="656" t="s">
        <v>2894</v>
      </c>
      <c r="E662" s="656" t="s">
        <v>2628</v>
      </c>
      <c r="I662" s="645"/>
      <c r="J662" s="645"/>
    </row>
    <row r="663" spans="1:10" x14ac:dyDescent="0.2">
      <c r="B663" s="646">
        <v>1</v>
      </c>
      <c r="C663" s="655">
        <v>3</v>
      </c>
      <c r="D663" s="656" t="s">
        <v>2895</v>
      </c>
      <c r="E663" s="656" t="s">
        <v>2471</v>
      </c>
      <c r="I663" s="645"/>
      <c r="J663" s="645"/>
    </row>
    <row r="664" spans="1:10" x14ac:dyDescent="0.2">
      <c r="B664" s="646">
        <v>1</v>
      </c>
      <c r="C664" s="655">
        <v>19</v>
      </c>
      <c r="D664" s="656" t="s">
        <v>2896</v>
      </c>
      <c r="E664" s="656" t="s">
        <v>2471</v>
      </c>
      <c r="I664" s="645"/>
      <c r="J664" s="645"/>
    </row>
    <row r="665" spans="1:10" x14ac:dyDescent="0.2">
      <c r="B665" s="646">
        <v>1</v>
      </c>
      <c r="C665" s="655">
        <v>5</v>
      </c>
      <c r="D665" s="656" t="s">
        <v>2897</v>
      </c>
      <c r="E665" s="656" t="s">
        <v>2471</v>
      </c>
      <c r="I665" s="645"/>
      <c r="J665" s="645"/>
    </row>
    <row r="666" spans="1:10" x14ac:dyDescent="0.2">
      <c r="B666" s="646">
        <v>1</v>
      </c>
      <c r="C666" s="655">
        <v>27</v>
      </c>
      <c r="D666" s="656" t="s">
        <v>2898</v>
      </c>
      <c r="E666" s="656" t="s">
        <v>2471</v>
      </c>
      <c r="I666" s="645"/>
      <c r="J666" s="645"/>
    </row>
    <row r="667" spans="1:10" x14ac:dyDescent="0.2">
      <c r="B667" s="646">
        <v>2</v>
      </c>
      <c r="C667" s="655">
        <v>1</v>
      </c>
      <c r="D667" s="656" t="s">
        <v>2899</v>
      </c>
      <c r="E667" s="656" t="s">
        <v>2628</v>
      </c>
      <c r="I667" s="645"/>
      <c r="J667" s="645"/>
    </row>
    <row r="668" spans="1:10" x14ac:dyDescent="0.2">
      <c r="B668" s="646">
        <v>5</v>
      </c>
      <c r="C668" s="655">
        <v>1</v>
      </c>
      <c r="D668" s="656" t="s">
        <v>2900</v>
      </c>
      <c r="E668" s="656" t="s">
        <v>2455</v>
      </c>
      <c r="I668" s="645"/>
      <c r="J668" s="645"/>
    </row>
    <row r="669" spans="1:10" x14ac:dyDescent="0.2">
      <c r="A669" s="531">
        <v>1000</v>
      </c>
      <c r="B669" s="646">
        <v>2</v>
      </c>
      <c r="C669" s="655">
        <v>5</v>
      </c>
      <c r="D669" s="656" t="s">
        <v>2747</v>
      </c>
      <c r="E669" s="656" t="s">
        <v>2628</v>
      </c>
      <c r="I669" s="645"/>
      <c r="J669" s="645"/>
    </row>
    <row r="670" spans="1:10" x14ac:dyDescent="0.2">
      <c r="A670" s="531">
        <v>1002</v>
      </c>
      <c r="B670" s="646">
        <v>2</v>
      </c>
      <c r="C670" s="655">
        <v>6</v>
      </c>
      <c r="D670" s="656" t="s">
        <v>2901</v>
      </c>
      <c r="E670" s="656" t="s">
        <v>2628</v>
      </c>
      <c r="I670" s="645"/>
      <c r="J670" s="645"/>
    </row>
    <row r="671" spans="1:10" x14ac:dyDescent="0.2">
      <c r="B671" s="646">
        <v>3</v>
      </c>
      <c r="C671" s="655">
        <v>1</v>
      </c>
      <c r="D671" s="656" t="s">
        <v>2902</v>
      </c>
      <c r="E671" s="656" t="s">
        <v>2903</v>
      </c>
      <c r="I671" s="645"/>
      <c r="J671" s="645"/>
    </row>
    <row r="672" spans="1:10" ht="16.5" thickBot="1" x14ac:dyDescent="0.3">
      <c r="C672" s="709">
        <f>SUM(C630:C671)</f>
        <v>136</v>
      </c>
      <c r="E672" s="649"/>
      <c r="I672" s="645"/>
      <c r="J672" s="645"/>
    </row>
    <row r="673" spans="2:10" ht="15.75" x14ac:dyDescent="0.25">
      <c r="C673" s="710"/>
      <c r="D673" s="669" t="s">
        <v>9</v>
      </c>
      <c r="E673" s="649"/>
      <c r="I673" s="645"/>
      <c r="J673" s="645"/>
    </row>
    <row r="674" spans="2:10" x14ac:dyDescent="0.2">
      <c r="C674" s="711">
        <v>1</v>
      </c>
      <c r="D674" s="667" t="s">
        <v>2747</v>
      </c>
      <c r="E674" s="656" t="s">
        <v>1986</v>
      </c>
      <c r="I674" s="645"/>
      <c r="J674" s="645"/>
    </row>
    <row r="675" spans="2:10" ht="16.5" thickBot="1" x14ac:dyDescent="0.3">
      <c r="C675" s="677">
        <f>SUM(C674:C674)</f>
        <v>1</v>
      </c>
      <c r="E675" s="649"/>
      <c r="I675" s="645"/>
      <c r="J675" s="645"/>
    </row>
    <row r="676" spans="2:10" x14ac:dyDescent="0.2">
      <c r="E676" s="649"/>
      <c r="I676" s="645"/>
      <c r="J676" s="645"/>
    </row>
    <row r="677" spans="2:10" x14ac:dyDescent="0.2">
      <c r="E677" s="649"/>
      <c r="I677" s="645"/>
      <c r="J677" s="645"/>
    </row>
    <row r="678" spans="2:10" ht="15.75" x14ac:dyDescent="0.2">
      <c r="C678" s="701" t="s">
        <v>2904</v>
      </c>
      <c r="D678" s="702"/>
      <c r="E678" s="649"/>
      <c r="I678" s="645"/>
      <c r="J678" s="645"/>
    </row>
    <row r="679" spans="2:10" x14ac:dyDescent="0.2">
      <c r="B679" s="646">
        <v>8</v>
      </c>
      <c r="C679" s="655">
        <v>1</v>
      </c>
      <c r="D679" s="656" t="s">
        <v>2905</v>
      </c>
      <c r="E679" s="656" t="s">
        <v>2475</v>
      </c>
      <c r="I679" s="645"/>
      <c r="J679" s="645"/>
    </row>
    <row r="680" spans="2:10" x14ac:dyDescent="0.2">
      <c r="B680" s="646">
        <v>7</v>
      </c>
      <c r="C680" s="655">
        <v>1</v>
      </c>
      <c r="D680" s="656" t="s">
        <v>2906</v>
      </c>
      <c r="E680" s="656" t="s">
        <v>1431</v>
      </c>
      <c r="I680" s="645"/>
      <c r="J680" s="645"/>
    </row>
    <row r="681" spans="2:10" x14ac:dyDescent="0.2">
      <c r="B681" s="646">
        <v>7</v>
      </c>
      <c r="C681" s="655">
        <v>1</v>
      </c>
      <c r="D681" s="656" t="s">
        <v>2907</v>
      </c>
      <c r="E681" s="656" t="s">
        <v>2566</v>
      </c>
      <c r="I681" s="645"/>
      <c r="J681" s="645"/>
    </row>
    <row r="682" spans="2:10" x14ac:dyDescent="0.2">
      <c r="B682" s="646">
        <v>5</v>
      </c>
      <c r="C682" s="655">
        <v>2</v>
      </c>
      <c r="D682" s="656" t="s">
        <v>2908</v>
      </c>
      <c r="E682" s="656" t="s">
        <v>2545</v>
      </c>
      <c r="I682" s="645"/>
      <c r="J682" s="645"/>
    </row>
    <row r="683" spans="2:10" x14ac:dyDescent="0.2">
      <c r="B683" s="646">
        <v>5</v>
      </c>
      <c r="C683" s="655">
        <v>1</v>
      </c>
      <c r="D683" s="656" t="s">
        <v>2909</v>
      </c>
      <c r="E683" s="656" t="s">
        <v>2455</v>
      </c>
      <c r="I683" s="645"/>
      <c r="J683" s="645"/>
    </row>
    <row r="684" spans="2:10" x14ac:dyDescent="0.2">
      <c r="B684" s="646">
        <v>5</v>
      </c>
      <c r="C684" s="655">
        <v>3</v>
      </c>
      <c r="D684" s="656" t="s">
        <v>2910</v>
      </c>
      <c r="E684" s="656" t="s">
        <v>2455</v>
      </c>
      <c r="I684" s="645"/>
      <c r="J684" s="645"/>
    </row>
    <row r="685" spans="2:10" x14ac:dyDescent="0.2">
      <c r="B685" s="646">
        <v>3</v>
      </c>
      <c r="C685" s="655">
        <v>1</v>
      </c>
      <c r="D685" s="656" t="s">
        <v>2456</v>
      </c>
      <c r="E685" s="656" t="s">
        <v>1432</v>
      </c>
      <c r="I685" s="645"/>
      <c r="J685" s="645"/>
    </row>
    <row r="686" spans="2:10" x14ac:dyDescent="0.2">
      <c r="B686" s="646">
        <v>2</v>
      </c>
      <c r="C686" s="655">
        <v>2</v>
      </c>
      <c r="D686" s="656" t="s">
        <v>2911</v>
      </c>
      <c r="E686" s="656" t="s">
        <v>2628</v>
      </c>
      <c r="I686" s="645"/>
      <c r="J686" s="645"/>
    </row>
    <row r="687" spans="2:10" ht="16.5" thickBot="1" x14ac:dyDescent="0.3">
      <c r="C687" s="709">
        <f>SUM(C679:C686)</f>
        <v>12</v>
      </c>
      <c r="E687" s="649"/>
      <c r="I687" s="645"/>
      <c r="J687" s="645"/>
    </row>
    <row r="688" spans="2:10" ht="15.75" x14ac:dyDescent="0.25">
      <c r="C688" s="710"/>
      <c r="D688" s="669" t="s">
        <v>9</v>
      </c>
      <c r="E688" s="649"/>
      <c r="I688" s="645"/>
      <c r="J688" s="645"/>
    </row>
    <row r="689" spans="2:10" x14ac:dyDescent="0.2">
      <c r="C689" s="711">
        <v>1</v>
      </c>
      <c r="D689" s="667" t="s">
        <v>2524</v>
      </c>
      <c r="E689" s="656"/>
      <c r="I689" s="645"/>
      <c r="J689" s="645"/>
    </row>
    <row r="690" spans="2:10" ht="16.5" thickBot="1" x14ac:dyDescent="0.3">
      <c r="C690" s="677">
        <f>SUM(C689:C689)</f>
        <v>1</v>
      </c>
      <c r="E690" s="649"/>
      <c r="I690" s="645"/>
      <c r="J690" s="645"/>
    </row>
    <row r="691" spans="2:10" x14ac:dyDescent="0.2">
      <c r="E691" s="649"/>
      <c r="I691" s="645"/>
      <c r="J691" s="645"/>
    </row>
    <row r="692" spans="2:10" x14ac:dyDescent="0.2">
      <c r="E692" s="649"/>
      <c r="I692" s="645"/>
      <c r="J692" s="645"/>
    </row>
    <row r="693" spans="2:10" ht="16.5" thickBot="1" x14ac:dyDescent="0.3">
      <c r="C693" s="712"/>
      <c r="D693" s="713" t="s">
        <v>2912</v>
      </c>
      <c r="E693" s="712"/>
      <c r="I693" s="645"/>
      <c r="J693" s="645"/>
    </row>
    <row r="694" spans="2:10" ht="15.75" thickTop="1" x14ac:dyDescent="0.2">
      <c r="B694" s="646">
        <v>7</v>
      </c>
      <c r="C694" s="655">
        <v>1</v>
      </c>
      <c r="D694" s="656" t="s">
        <v>2913</v>
      </c>
      <c r="E694" s="656" t="s">
        <v>1431</v>
      </c>
      <c r="I694" s="645"/>
      <c r="J694" s="645"/>
    </row>
    <row r="695" spans="2:10" x14ac:dyDescent="0.2">
      <c r="B695" s="646">
        <v>5</v>
      </c>
      <c r="C695" s="655">
        <v>2</v>
      </c>
      <c r="D695" s="656" t="s">
        <v>2914</v>
      </c>
      <c r="E695" s="656" t="s">
        <v>2455</v>
      </c>
      <c r="I695" s="645"/>
      <c r="J695" s="645"/>
    </row>
    <row r="696" spans="2:10" x14ac:dyDescent="0.2">
      <c r="B696" s="646">
        <v>3</v>
      </c>
      <c r="C696" s="655">
        <v>1</v>
      </c>
      <c r="D696" s="656" t="s">
        <v>2915</v>
      </c>
      <c r="E696" s="656" t="s">
        <v>2863</v>
      </c>
      <c r="I696" s="645"/>
      <c r="J696" s="645"/>
    </row>
    <row r="697" spans="2:10" x14ac:dyDescent="0.2">
      <c r="B697" s="646">
        <v>2</v>
      </c>
      <c r="C697" s="655">
        <v>3</v>
      </c>
      <c r="D697" s="656" t="s">
        <v>2916</v>
      </c>
      <c r="E697" s="656" t="s">
        <v>2628</v>
      </c>
      <c r="I697" s="645"/>
      <c r="J697" s="645"/>
    </row>
    <row r="698" spans="2:10" x14ac:dyDescent="0.2">
      <c r="B698" s="646">
        <v>2</v>
      </c>
      <c r="C698" s="655">
        <v>1</v>
      </c>
      <c r="D698" s="656" t="s">
        <v>2917</v>
      </c>
      <c r="E698" s="656" t="s">
        <v>2628</v>
      </c>
      <c r="I698" s="645"/>
      <c r="J698" s="645"/>
    </row>
    <row r="699" spans="2:10" x14ac:dyDescent="0.2">
      <c r="B699" s="646">
        <v>2</v>
      </c>
      <c r="C699" s="655">
        <v>4</v>
      </c>
      <c r="D699" s="656" t="s">
        <v>2918</v>
      </c>
      <c r="E699" s="656" t="s">
        <v>2628</v>
      </c>
      <c r="I699" s="645"/>
      <c r="J699" s="645"/>
    </row>
    <row r="700" spans="2:10" x14ac:dyDescent="0.2">
      <c r="B700" s="646">
        <v>2</v>
      </c>
      <c r="C700" s="655">
        <v>1</v>
      </c>
      <c r="D700" s="656" t="s">
        <v>2747</v>
      </c>
      <c r="E700" s="656" t="s">
        <v>2628</v>
      </c>
      <c r="I700" s="645"/>
      <c r="J700" s="645"/>
    </row>
    <row r="701" spans="2:10" ht="16.5" thickBot="1" x14ac:dyDescent="0.3">
      <c r="C701" s="714">
        <f>SUM(C694:C700)</f>
        <v>13</v>
      </c>
      <c r="D701" s="656"/>
      <c r="E701" s="656"/>
      <c r="I701" s="645"/>
      <c r="J701" s="645"/>
    </row>
    <row r="702" spans="2:10" ht="15.75" x14ac:dyDescent="0.25">
      <c r="C702" s="715"/>
      <c r="D702" s="656"/>
      <c r="E702" s="656"/>
      <c r="I702" s="645"/>
      <c r="J702" s="645"/>
    </row>
    <row r="703" spans="2:10" x14ac:dyDescent="0.2">
      <c r="I703" s="645"/>
      <c r="J703" s="645"/>
    </row>
    <row r="704" spans="2:10" x14ac:dyDescent="0.2">
      <c r="I704" s="645"/>
      <c r="J704" s="645"/>
    </row>
    <row r="705" spans="9:10" x14ac:dyDescent="0.2">
      <c r="I705" s="645"/>
      <c r="J705" s="645"/>
    </row>
    <row r="706" spans="9:10" x14ac:dyDescent="0.2">
      <c r="I706" s="645"/>
      <c r="J706" s="645"/>
    </row>
    <row r="707" spans="9:10" x14ac:dyDescent="0.2">
      <c r="I707" s="645"/>
      <c r="J707" s="645"/>
    </row>
    <row r="708" spans="9:10" x14ac:dyDescent="0.2">
      <c r="I708" s="645"/>
      <c r="J708" s="645"/>
    </row>
    <row r="709" spans="9:10" x14ac:dyDescent="0.2">
      <c r="I709" s="645"/>
      <c r="J709" s="645"/>
    </row>
    <row r="710" spans="9:10" x14ac:dyDescent="0.2">
      <c r="I710" s="645"/>
      <c r="J710" s="645"/>
    </row>
    <row r="711" spans="9:10" x14ac:dyDescent="0.2">
      <c r="I711" s="645"/>
      <c r="J711" s="645"/>
    </row>
    <row r="712" spans="9:10" x14ac:dyDescent="0.2">
      <c r="I712" s="645"/>
      <c r="J712" s="645"/>
    </row>
    <row r="713" spans="9:10" x14ac:dyDescent="0.2">
      <c r="I713" s="645"/>
      <c r="J713" s="645"/>
    </row>
    <row r="714" spans="9:10" x14ac:dyDescent="0.2">
      <c r="I714" s="645"/>
      <c r="J714" s="645"/>
    </row>
    <row r="715" spans="9:10" x14ac:dyDescent="0.2">
      <c r="I715" s="645"/>
      <c r="J715" s="645"/>
    </row>
    <row r="716" spans="9:10" x14ac:dyDescent="0.2">
      <c r="I716" s="645"/>
      <c r="J716" s="645"/>
    </row>
    <row r="717" spans="9:10" x14ac:dyDescent="0.2">
      <c r="I717" s="645"/>
      <c r="J717" s="645"/>
    </row>
    <row r="718" spans="9:10" x14ac:dyDescent="0.2">
      <c r="I718" s="645"/>
      <c r="J718" s="645"/>
    </row>
    <row r="719" spans="9:10" x14ac:dyDescent="0.2">
      <c r="I719" s="645"/>
      <c r="J719" s="645"/>
    </row>
    <row r="720" spans="9:10" x14ac:dyDescent="0.2">
      <c r="I720" s="645"/>
      <c r="J720" s="645"/>
    </row>
    <row r="721" spans="9:10" x14ac:dyDescent="0.2">
      <c r="I721" s="645"/>
      <c r="J721" s="645"/>
    </row>
    <row r="722" spans="9:10" x14ac:dyDescent="0.2">
      <c r="I722" s="645"/>
      <c r="J722" s="645"/>
    </row>
    <row r="723" spans="9:10" x14ac:dyDescent="0.2">
      <c r="I723" s="645"/>
      <c r="J723" s="645"/>
    </row>
    <row r="724" spans="9:10" x14ac:dyDescent="0.2">
      <c r="I724" s="645"/>
      <c r="J724" s="645"/>
    </row>
    <row r="725" spans="9:10" x14ac:dyDescent="0.2">
      <c r="I725" s="645"/>
      <c r="J725" s="645"/>
    </row>
    <row r="726" spans="9:10" x14ac:dyDescent="0.2">
      <c r="I726" s="645"/>
      <c r="J726" s="645"/>
    </row>
    <row r="727" spans="9:10" x14ac:dyDescent="0.2">
      <c r="I727" s="645"/>
      <c r="J727" s="645"/>
    </row>
    <row r="728" spans="9:10" x14ac:dyDescent="0.2">
      <c r="I728" s="645"/>
      <c r="J728" s="645"/>
    </row>
    <row r="729" spans="9:10" x14ac:dyDescent="0.2">
      <c r="I729" s="645"/>
      <c r="J729" s="645"/>
    </row>
    <row r="730" spans="9:10" x14ac:dyDescent="0.2">
      <c r="I730" s="645"/>
      <c r="J730" s="645"/>
    </row>
    <row r="731" spans="9:10" x14ac:dyDescent="0.2">
      <c r="I731" s="645"/>
      <c r="J731" s="645"/>
    </row>
    <row r="732" spans="9:10" x14ac:dyDescent="0.2">
      <c r="I732" s="645"/>
      <c r="J732" s="645"/>
    </row>
    <row r="733" spans="9:10" x14ac:dyDescent="0.2">
      <c r="I733" s="645"/>
      <c r="J733" s="645"/>
    </row>
    <row r="734" spans="9:10" x14ac:dyDescent="0.2">
      <c r="I734" s="645"/>
      <c r="J734" s="645"/>
    </row>
    <row r="735" spans="9:10" x14ac:dyDescent="0.2">
      <c r="I735" s="645"/>
      <c r="J735" s="645"/>
    </row>
    <row r="736" spans="9:10" x14ac:dyDescent="0.2">
      <c r="I736" s="645"/>
      <c r="J736" s="645"/>
    </row>
    <row r="737" spans="9:10" x14ac:dyDescent="0.2">
      <c r="I737" s="645"/>
      <c r="J737" s="645"/>
    </row>
    <row r="738" spans="9:10" x14ac:dyDescent="0.2">
      <c r="I738" s="645"/>
      <c r="J738" s="645"/>
    </row>
    <row r="739" spans="9:10" x14ac:dyDescent="0.2">
      <c r="I739" s="645"/>
      <c r="J739" s="645"/>
    </row>
    <row r="740" spans="9:10" x14ac:dyDescent="0.2">
      <c r="I740" s="645"/>
      <c r="J740" s="645"/>
    </row>
    <row r="741" spans="9:10" x14ac:dyDescent="0.2">
      <c r="I741" s="645"/>
      <c r="J741" s="645"/>
    </row>
    <row r="742" spans="9:10" x14ac:dyDescent="0.2">
      <c r="I742" s="645"/>
      <c r="J742" s="645"/>
    </row>
    <row r="743" spans="9:10" x14ac:dyDescent="0.2">
      <c r="I743" s="645"/>
      <c r="J743" s="645"/>
    </row>
    <row r="744" spans="9:10" x14ac:dyDescent="0.2">
      <c r="I744" s="645"/>
      <c r="J744" s="645"/>
    </row>
    <row r="745" spans="9:10" x14ac:dyDescent="0.2">
      <c r="I745" s="645"/>
      <c r="J745" s="645"/>
    </row>
    <row r="746" spans="9:10" x14ac:dyDescent="0.2">
      <c r="I746" s="645"/>
      <c r="J746" s="645"/>
    </row>
    <row r="747" spans="9:10" x14ac:dyDescent="0.2">
      <c r="I747" s="645"/>
      <c r="J747" s="645"/>
    </row>
    <row r="748" spans="9:10" x14ac:dyDescent="0.2">
      <c r="I748" s="645"/>
      <c r="J748" s="645"/>
    </row>
    <row r="749" spans="9:10" x14ac:dyDescent="0.2">
      <c r="I749" s="645"/>
      <c r="J749" s="645"/>
    </row>
    <row r="750" spans="9:10" x14ac:dyDescent="0.2">
      <c r="I750" s="645"/>
      <c r="J750" s="645"/>
    </row>
    <row r="751" spans="9:10" x14ac:dyDescent="0.2">
      <c r="I751" s="645"/>
      <c r="J751" s="645"/>
    </row>
    <row r="752" spans="9:10" x14ac:dyDescent="0.2">
      <c r="I752" s="645"/>
      <c r="J752" s="645"/>
    </row>
    <row r="753" spans="9:10" x14ac:dyDescent="0.2">
      <c r="I753" s="645"/>
      <c r="J753" s="645"/>
    </row>
    <row r="754" spans="9:10" x14ac:dyDescent="0.2">
      <c r="I754" s="645"/>
      <c r="J754" s="645"/>
    </row>
    <row r="755" spans="9:10" x14ac:dyDescent="0.2">
      <c r="I755" s="645"/>
      <c r="J755" s="645"/>
    </row>
  </sheetData>
  <printOptions horizontalCentered="1"/>
  <pageMargins left="0.25" right="0.25" top="0.86666666699999995" bottom="0.75" header="0" footer="0"/>
  <pageSetup scale="80" firstPageNumber="72" orientation="portrait" useFirstPageNumber="1" r:id="rId1"/>
  <headerFooter alignWithMargins="0">
    <oddHeader>&amp;C&amp;P</oddHeader>
  </headerFooter>
  <rowBreaks count="10" manualBreakCount="10">
    <brk id="7" min="87" max="151" man="1"/>
    <brk id="26" min="1" max="5" man="1"/>
    <brk id="174" min="1" max="5" man="1"/>
    <brk id="376" min="1" max="5" man="1"/>
    <brk id="461" min="501" max="50082" man="1"/>
    <brk id="496" min="1" max="5" man="1"/>
    <brk id="563" min="1" max="5" man="1"/>
    <brk id="2287" min="18" max="6133" man="1"/>
    <brk id="13590" min="18" max="17261" man="1"/>
    <brk id="57001" min="17" max="606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49"/>
  <sheetViews>
    <sheet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11.140625" style="249" customWidth="1"/>
    <col min="6" max="6" width="10.5703125" style="249" customWidth="1"/>
    <col min="7" max="7" width="9.85546875" style="249" customWidth="1"/>
    <col min="8" max="10" width="9.85546875" style="100" customWidth="1"/>
    <col min="11" max="16384" width="9.140625" style="100"/>
  </cols>
  <sheetData>
    <row r="1" spans="1:10" x14ac:dyDescent="0.2">
      <c r="A1" s="98" t="s">
        <v>254</v>
      </c>
      <c r="B1" s="98"/>
      <c r="C1" s="99"/>
      <c r="D1" s="99"/>
      <c r="E1" s="99"/>
      <c r="F1" s="99"/>
      <c r="G1" s="99"/>
      <c r="H1" s="99"/>
      <c r="I1" s="99"/>
      <c r="J1" s="99"/>
    </row>
    <row r="2" spans="1:10" x14ac:dyDescent="0.2">
      <c r="A2" s="98" t="s">
        <v>255</v>
      </c>
      <c r="B2" s="98"/>
      <c r="C2" s="101"/>
      <c r="D2" s="101"/>
      <c r="E2" s="101"/>
      <c r="F2" s="101"/>
      <c r="G2" s="101"/>
      <c r="H2" s="101"/>
      <c r="I2" s="101"/>
      <c r="J2" s="101"/>
    </row>
    <row r="3" spans="1:10" ht="8.25" customHeight="1" x14ac:dyDescent="0.2">
      <c r="A3" s="102"/>
      <c r="B3" s="103"/>
      <c r="C3" s="103"/>
      <c r="D3" s="103"/>
      <c r="E3" s="103"/>
      <c r="F3" s="103"/>
      <c r="G3" s="103"/>
      <c r="H3" s="103"/>
      <c r="I3" s="103"/>
      <c r="J3" s="104"/>
    </row>
    <row r="4" spans="1:10" x14ac:dyDescent="0.2">
      <c r="A4" s="105" t="s">
        <v>256</v>
      </c>
      <c r="B4" s="106" t="s">
        <v>257</v>
      </c>
      <c r="C4" s="106"/>
      <c r="D4" s="106"/>
      <c r="E4" s="106"/>
      <c r="F4" s="106"/>
      <c r="G4" s="106"/>
      <c r="H4" s="107"/>
      <c r="I4" s="107"/>
      <c r="J4" s="108"/>
    </row>
    <row r="5" spans="1:10" x14ac:dyDescent="0.2">
      <c r="A5" s="109"/>
      <c r="B5" s="106" t="s">
        <v>258</v>
      </c>
      <c r="C5" s="110"/>
      <c r="D5" s="110"/>
      <c r="E5" s="106"/>
      <c r="F5" s="106"/>
      <c r="G5" s="106"/>
      <c r="H5" s="111"/>
      <c r="I5" s="111"/>
      <c r="J5" s="112"/>
    </row>
    <row r="6" spans="1:10" x14ac:dyDescent="0.2">
      <c r="A6" s="109"/>
      <c r="B6" s="106" t="s">
        <v>259</v>
      </c>
      <c r="C6" s="113"/>
      <c r="D6" s="114"/>
      <c r="E6" s="114"/>
      <c r="F6" s="114"/>
      <c r="G6" s="114"/>
      <c r="H6" s="114"/>
      <c r="I6" s="111"/>
      <c r="J6" s="112">
        <f>H50</f>
        <v>6266700</v>
      </c>
    </row>
    <row r="7" spans="1:10" x14ac:dyDescent="0.2">
      <c r="A7" s="115" t="s">
        <v>260</v>
      </c>
      <c r="B7" s="116" t="s">
        <v>261</v>
      </c>
      <c r="C7" s="106"/>
      <c r="D7" s="106" t="s">
        <v>262</v>
      </c>
      <c r="E7" s="114"/>
      <c r="F7" s="114"/>
      <c r="G7" s="114"/>
      <c r="H7" s="106"/>
      <c r="I7" s="117"/>
      <c r="J7" s="118"/>
    </row>
    <row r="8" spans="1:10" ht="15" thickBot="1" x14ac:dyDescent="0.25">
      <c r="A8" s="119" t="s">
        <v>263</v>
      </c>
      <c r="B8" s="120" t="s">
        <v>264</v>
      </c>
      <c r="C8" s="120"/>
      <c r="D8" s="121"/>
      <c r="E8" s="122"/>
      <c r="F8" s="122"/>
      <c r="G8" s="122"/>
      <c r="H8" s="123"/>
      <c r="I8" s="123"/>
      <c r="J8" s="124"/>
    </row>
    <row r="9" spans="1:10" ht="15" x14ac:dyDescent="0.2">
      <c r="A9" s="125"/>
      <c r="B9" s="126"/>
      <c r="C9" s="126"/>
      <c r="D9" s="126"/>
      <c r="E9" s="126"/>
      <c r="F9" s="126"/>
      <c r="G9" s="126"/>
      <c r="H9" s="126"/>
      <c r="I9" s="126"/>
      <c r="J9" s="127"/>
    </row>
    <row r="10" spans="1:10" x14ac:dyDescent="0.2">
      <c r="A10" s="128" t="s">
        <v>265</v>
      </c>
      <c r="B10" s="128"/>
      <c r="C10" s="128"/>
      <c r="D10" s="128"/>
      <c r="E10" s="128"/>
      <c r="F10" s="128"/>
      <c r="G10" s="128"/>
      <c r="H10" s="128"/>
      <c r="I10" s="128"/>
      <c r="J10" s="128"/>
    </row>
    <row r="11" spans="1:10" ht="15" customHeight="1" x14ac:dyDescent="0.2">
      <c r="A11" s="129" t="s">
        <v>266</v>
      </c>
      <c r="B11" s="129"/>
      <c r="C11" s="129"/>
      <c r="D11" s="129"/>
      <c r="E11" s="129"/>
      <c r="F11" s="129"/>
      <c r="G11" s="129"/>
      <c r="H11" s="129"/>
      <c r="I11" s="129"/>
      <c r="J11" s="129"/>
    </row>
    <row r="12" spans="1:10" x14ac:dyDescent="0.2">
      <c r="A12" s="129"/>
      <c r="B12" s="129"/>
      <c r="C12" s="129"/>
      <c r="D12" s="129"/>
      <c r="E12" s="129"/>
      <c r="F12" s="129"/>
      <c r="G12" s="129"/>
      <c r="H12" s="129"/>
      <c r="I12" s="129"/>
      <c r="J12" s="129"/>
    </row>
    <row r="13" spans="1:10" ht="15" customHeight="1" x14ac:dyDescent="0.2">
      <c r="A13" s="128" t="s">
        <v>267</v>
      </c>
      <c r="B13" s="128"/>
      <c r="C13" s="128"/>
      <c r="D13" s="128"/>
      <c r="E13" s="128"/>
      <c r="F13" s="128"/>
      <c r="G13" s="128"/>
      <c r="H13" s="128"/>
      <c r="I13" s="128"/>
      <c r="J13" s="128"/>
    </row>
    <row r="14" spans="1:10" ht="15.75" customHeight="1" x14ac:dyDescent="0.2">
      <c r="A14" s="129" t="s">
        <v>268</v>
      </c>
      <c r="B14" s="129"/>
      <c r="C14" s="129"/>
      <c r="D14" s="129"/>
      <c r="E14" s="129"/>
      <c r="F14" s="129"/>
      <c r="G14" s="129"/>
      <c r="H14" s="129"/>
      <c r="I14" s="129"/>
      <c r="J14" s="129"/>
    </row>
    <row r="15" spans="1:10" ht="15" customHeight="1" x14ac:dyDescent="0.2">
      <c r="A15" s="129"/>
      <c r="B15" s="129"/>
      <c r="C15" s="129"/>
      <c r="D15" s="129"/>
      <c r="E15" s="129"/>
      <c r="F15" s="129"/>
      <c r="G15" s="129"/>
      <c r="H15" s="129"/>
      <c r="I15" s="129"/>
      <c r="J15" s="129"/>
    </row>
    <row r="16" spans="1:10" x14ac:dyDescent="0.2">
      <c r="A16" s="128" t="s">
        <v>269</v>
      </c>
      <c r="B16" s="128"/>
      <c r="C16" s="128"/>
      <c r="D16" s="128"/>
      <c r="E16" s="128"/>
      <c r="F16" s="128"/>
      <c r="G16" s="128"/>
      <c r="H16" s="128"/>
      <c r="I16" s="128"/>
      <c r="J16" s="128"/>
    </row>
    <row r="17" spans="1:10" x14ac:dyDescent="0.2">
      <c r="A17" s="129" t="s">
        <v>270</v>
      </c>
      <c r="B17" s="129"/>
      <c r="C17" s="129"/>
      <c r="D17" s="129"/>
      <c r="E17" s="129"/>
      <c r="F17" s="129"/>
      <c r="G17" s="129"/>
      <c r="H17" s="129"/>
      <c r="I17" s="129"/>
      <c r="J17" s="129"/>
    </row>
    <row r="18" spans="1:10" ht="25.5" customHeight="1" x14ac:dyDescent="0.2">
      <c r="A18" s="129" t="s">
        <v>271</v>
      </c>
      <c r="B18" s="129"/>
      <c r="C18" s="129"/>
      <c r="D18" s="129"/>
      <c r="E18" s="129"/>
      <c r="F18" s="129"/>
      <c r="G18" s="129"/>
      <c r="H18" s="129"/>
      <c r="I18" s="129"/>
      <c r="J18" s="129"/>
    </row>
    <row r="19" spans="1:10" ht="15" customHeight="1" x14ac:dyDescent="0.2">
      <c r="A19" s="128" t="s">
        <v>272</v>
      </c>
      <c r="B19" s="128"/>
      <c r="C19" s="128"/>
      <c r="D19" s="128"/>
      <c r="E19" s="128"/>
      <c r="F19" s="128"/>
      <c r="G19" s="128"/>
      <c r="H19" s="128"/>
      <c r="I19" s="128"/>
      <c r="J19" s="128"/>
    </row>
    <row r="20" spans="1:10" x14ac:dyDescent="0.2">
      <c r="A20" s="129" t="s">
        <v>273</v>
      </c>
      <c r="B20" s="129"/>
      <c r="C20" s="129"/>
      <c r="D20" s="129"/>
      <c r="E20" s="129"/>
      <c r="F20" s="129"/>
      <c r="G20" s="129"/>
      <c r="H20" s="129"/>
      <c r="I20" s="129"/>
      <c r="J20" s="129"/>
    </row>
    <row r="21" spans="1:10" ht="24.75" customHeight="1" x14ac:dyDescent="0.2">
      <c r="A21" s="129" t="s">
        <v>274</v>
      </c>
      <c r="B21" s="129"/>
      <c r="C21" s="129"/>
      <c r="D21" s="129"/>
      <c r="E21" s="129"/>
      <c r="F21" s="129"/>
      <c r="G21" s="129"/>
      <c r="H21" s="129"/>
      <c r="I21" s="129"/>
      <c r="J21" s="129"/>
    </row>
    <row r="22" spans="1:10" x14ac:dyDescent="0.2">
      <c r="A22" s="128" t="s">
        <v>275</v>
      </c>
      <c r="B22" s="128"/>
      <c r="C22" s="128"/>
      <c r="D22" s="128"/>
      <c r="E22" s="128"/>
      <c r="F22" s="128"/>
      <c r="G22" s="128"/>
      <c r="H22" s="128"/>
      <c r="I22" s="128"/>
      <c r="J22" s="128"/>
    </row>
    <row r="23" spans="1:10" ht="33.75" x14ac:dyDescent="0.2">
      <c r="A23" s="130" t="s">
        <v>243</v>
      </c>
      <c r="B23" s="131" t="s">
        <v>242</v>
      </c>
      <c r="C23" s="131"/>
      <c r="D23" s="131"/>
      <c r="E23" s="132" t="str">
        <f>Summary!$G$25</f>
        <v>Actuals           2014-2015</v>
      </c>
      <c r="F23" s="132" t="str">
        <f>Summary!$H$25</f>
        <v>Approved Estimates          2015-2016</v>
      </c>
      <c r="G23" s="132" t="str">
        <f>Summary!$I$25</f>
        <v>Revised Estimates                 2015-2016</v>
      </c>
      <c r="H23" s="132" t="str">
        <f>Summary!$J$25</f>
        <v>Budget Estimates      2016-2017</v>
      </c>
      <c r="I23" s="132" t="str">
        <f>Summary!$K$25</f>
        <v>Forward Estimates     2017-2018</v>
      </c>
      <c r="J23" s="132" t="str">
        <f>Summary!$L$25</f>
        <v>Forward Estimates     2018-2019</v>
      </c>
    </row>
    <row r="24" spans="1:10" x14ac:dyDescent="0.2">
      <c r="A24" s="128" t="s">
        <v>276</v>
      </c>
      <c r="B24" s="128"/>
      <c r="C24" s="128"/>
      <c r="D24" s="128"/>
      <c r="E24" s="128"/>
      <c r="F24" s="128"/>
      <c r="G24" s="128"/>
      <c r="H24" s="128"/>
      <c r="I24" s="128"/>
      <c r="J24" s="128"/>
    </row>
    <row r="25" spans="1:10" ht="12.75" customHeight="1" x14ac:dyDescent="0.2">
      <c r="A25" s="133" t="s">
        <v>85</v>
      </c>
      <c r="B25" s="134" t="s">
        <v>277</v>
      </c>
      <c r="C25" s="134"/>
      <c r="D25" s="134"/>
      <c r="E25" s="135">
        <f t="shared" ref="E25:J25" si="0">E61</f>
        <v>0</v>
      </c>
      <c r="F25" s="135">
        <f t="shared" si="0"/>
        <v>0</v>
      </c>
      <c r="G25" s="135">
        <f t="shared" si="0"/>
        <v>0</v>
      </c>
      <c r="H25" s="136">
        <f t="shared" si="0"/>
        <v>0</v>
      </c>
      <c r="I25" s="135">
        <f t="shared" si="0"/>
        <v>0</v>
      </c>
      <c r="J25" s="135">
        <f t="shared" si="0"/>
        <v>0</v>
      </c>
    </row>
    <row r="26" spans="1:10" ht="12.75" customHeight="1" x14ac:dyDescent="0.2">
      <c r="A26" s="133" t="s">
        <v>87</v>
      </c>
      <c r="B26" s="134" t="s">
        <v>278</v>
      </c>
      <c r="C26" s="134"/>
      <c r="D26" s="134"/>
      <c r="E26" s="135">
        <f t="shared" ref="E26:J26" si="1">E132</f>
        <v>274075</v>
      </c>
      <c r="F26" s="135">
        <f t="shared" si="1"/>
        <v>282600</v>
      </c>
      <c r="G26" s="135">
        <f t="shared" si="1"/>
        <v>148100</v>
      </c>
      <c r="H26" s="136">
        <f t="shared" si="1"/>
        <v>282600</v>
      </c>
      <c r="I26" s="135">
        <f t="shared" si="1"/>
        <v>282600</v>
      </c>
      <c r="J26" s="135">
        <f t="shared" si="1"/>
        <v>282600</v>
      </c>
    </row>
    <row r="27" spans="1:10" ht="12.75" customHeight="1" x14ac:dyDescent="0.2">
      <c r="A27" s="133" t="s">
        <v>89</v>
      </c>
      <c r="B27" s="134" t="s">
        <v>279</v>
      </c>
      <c r="C27" s="134"/>
      <c r="D27" s="134"/>
      <c r="E27" s="135">
        <f t="shared" ref="E27:J27" si="2">E214</f>
        <v>0</v>
      </c>
      <c r="F27" s="135">
        <f t="shared" si="2"/>
        <v>0</v>
      </c>
      <c r="G27" s="135">
        <f t="shared" si="2"/>
        <v>0</v>
      </c>
      <c r="H27" s="136">
        <f t="shared" si="2"/>
        <v>0</v>
      </c>
      <c r="I27" s="135">
        <f t="shared" si="2"/>
        <v>0</v>
      </c>
      <c r="J27" s="135">
        <f t="shared" si="2"/>
        <v>0</v>
      </c>
    </row>
    <row r="28" spans="1:10" x14ac:dyDescent="0.2">
      <c r="A28" s="137" t="s">
        <v>280</v>
      </c>
      <c r="B28" s="137"/>
      <c r="C28" s="137"/>
      <c r="D28" s="137"/>
      <c r="E28" s="138">
        <f t="shared" ref="E28:J28" si="3">SUM(E25:E27)</f>
        <v>274075</v>
      </c>
      <c r="F28" s="138">
        <f t="shared" si="3"/>
        <v>282600</v>
      </c>
      <c r="G28" s="138">
        <f t="shared" si="3"/>
        <v>148100</v>
      </c>
      <c r="H28" s="138">
        <f t="shared" si="3"/>
        <v>282600</v>
      </c>
      <c r="I28" s="138">
        <f t="shared" si="3"/>
        <v>282600</v>
      </c>
      <c r="J28" s="138">
        <f t="shared" si="3"/>
        <v>282600</v>
      </c>
    </row>
    <row r="29" spans="1:10" x14ac:dyDescent="0.2">
      <c r="A29" s="129"/>
      <c r="B29" s="129"/>
      <c r="C29" s="129"/>
      <c r="D29" s="129"/>
      <c r="E29" s="129"/>
      <c r="F29" s="129"/>
      <c r="G29" s="129"/>
      <c r="H29" s="129"/>
      <c r="I29" s="129"/>
      <c r="J29" s="129"/>
    </row>
    <row r="30" spans="1:10" x14ac:dyDescent="0.2">
      <c r="A30" s="128" t="s">
        <v>281</v>
      </c>
      <c r="B30" s="128"/>
      <c r="C30" s="128"/>
      <c r="D30" s="128"/>
      <c r="E30" s="128"/>
      <c r="F30" s="128"/>
      <c r="G30" s="128"/>
      <c r="H30" s="128"/>
      <c r="I30" s="128"/>
      <c r="J30" s="128"/>
    </row>
    <row r="31" spans="1:10" ht="12.75" customHeight="1" x14ac:dyDescent="0.2">
      <c r="A31" s="133" t="s">
        <v>85</v>
      </c>
      <c r="B31" s="134" t="s">
        <v>277</v>
      </c>
      <c r="C31" s="134"/>
      <c r="D31" s="134"/>
      <c r="E31" s="135">
        <f t="shared" ref="E31:J31" si="4">E77+E83</f>
        <v>1201597.99</v>
      </c>
      <c r="F31" s="135">
        <f t="shared" si="4"/>
        <v>1342300</v>
      </c>
      <c r="G31" s="135">
        <f t="shared" si="4"/>
        <v>1326800</v>
      </c>
      <c r="H31" s="136">
        <f>H77+H83</f>
        <v>1372800</v>
      </c>
      <c r="I31" s="135">
        <f t="shared" si="4"/>
        <v>1400600</v>
      </c>
      <c r="J31" s="135">
        <f t="shared" si="4"/>
        <v>1427000</v>
      </c>
    </row>
    <row r="32" spans="1:10" ht="12.75" customHeight="1" x14ac:dyDescent="0.2">
      <c r="A32" s="133" t="s">
        <v>87</v>
      </c>
      <c r="B32" s="134" t="s">
        <v>278</v>
      </c>
      <c r="C32" s="134"/>
      <c r="D32" s="134"/>
      <c r="E32" s="135">
        <f t="shared" ref="E32:J32" si="5">E157+E164</f>
        <v>4198588.96</v>
      </c>
      <c r="F32" s="135">
        <f t="shared" si="5"/>
        <v>4577800</v>
      </c>
      <c r="G32" s="135">
        <f t="shared" si="5"/>
        <v>4482200</v>
      </c>
      <c r="H32" s="136">
        <f t="shared" si="5"/>
        <v>4715200</v>
      </c>
      <c r="I32" s="135">
        <f t="shared" si="5"/>
        <v>4761300</v>
      </c>
      <c r="J32" s="135">
        <f t="shared" si="5"/>
        <v>4842400</v>
      </c>
    </row>
    <row r="33" spans="1:10" ht="12.75" customHeight="1" x14ac:dyDescent="0.2">
      <c r="A33" s="133" t="s">
        <v>89</v>
      </c>
      <c r="B33" s="134" t="s">
        <v>279</v>
      </c>
      <c r="C33" s="134"/>
      <c r="D33" s="134"/>
      <c r="E33" s="135">
        <f t="shared" ref="E33:J33" si="6">E230+E237</f>
        <v>116976.57999999999</v>
      </c>
      <c r="F33" s="135">
        <f t="shared" si="6"/>
        <v>131100</v>
      </c>
      <c r="G33" s="135">
        <f t="shared" si="6"/>
        <v>135100</v>
      </c>
      <c r="H33" s="136">
        <f t="shared" si="6"/>
        <v>178700</v>
      </c>
      <c r="I33" s="135">
        <f t="shared" si="6"/>
        <v>178700</v>
      </c>
      <c r="J33" s="135">
        <f t="shared" si="6"/>
        <v>178700</v>
      </c>
    </row>
    <row r="34" spans="1:10" x14ac:dyDescent="0.2">
      <c r="A34" s="139" t="s">
        <v>282</v>
      </c>
      <c r="B34" s="139"/>
      <c r="C34" s="139"/>
      <c r="D34" s="139"/>
      <c r="E34" s="140">
        <f t="shared" ref="E34:J34" si="7">SUM(E31:E33)</f>
        <v>5517163.5300000003</v>
      </c>
      <c r="F34" s="140">
        <f t="shared" si="7"/>
        <v>6051200</v>
      </c>
      <c r="G34" s="140">
        <f t="shared" si="7"/>
        <v>5944100</v>
      </c>
      <c r="H34" s="140">
        <f t="shared" si="7"/>
        <v>6266700</v>
      </c>
      <c r="I34" s="140">
        <f t="shared" si="7"/>
        <v>6340600</v>
      </c>
      <c r="J34" s="140">
        <f t="shared" si="7"/>
        <v>6448100</v>
      </c>
    </row>
    <row r="35" spans="1:10" ht="15" customHeight="1" x14ac:dyDescent="0.2">
      <c r="A35" s="129"/>
      <c r="B35" s="129"/>
      <c r="C35" s="129"/>
      <c r="D35" s="129"/>
      <c r="E35" s="129"/>
      <c r="F35" s="129"/>
      <c r="G35" s="129"/>
      <c r="H35" s="129"/>
      <c r="I35" s="129"/>
      <c r="J35" s="129"/>
    </row>
    <row r="36" spans="1:10" x14ac:dyDescent="0.2">
      <c r="A36" s="141" t="s">
        <v>283</v>
      </c>
      <c r="B36" s="141"/>
      <c r="C36" s="141"/>
      <c r="D36" s="141"/>
      <c r="E36" s="141"/>
      <c r="F36" s="141"/>
      <c r="G36" s="141"/>
      <c r="H36" s="141"/>
      <c r="I36" s="141"/>
      <c r="J36" s="141"/>
    </row>
    <row r="37" spans="1:10" x14ac:dyDescent="0.2">
      <c r="A37" s="131" t="s">
        <v>284</v>
      </c>
      <c r="B37" s="131"/>
      <c r="C37" s="131"/>
      <c r="D37" s="131"/>
      <c r="E37" s="131"/>
      <c r="F37" s="131"/>
      <c r="G37" s="131"/>
      <c r="H37" s="131"/>
      <c r="I37" s="131"/>
      <c r="J37" s="131"/>
    </row>
    <row r="38" spans="1:10" ht="12.75" customHeight="1" x14ac:dyDescent="0.2">
      <c r="A38" s="133"/>
      <c r="B38" s="134" t="s">
        <v>7</v>
      </c>
      <c r="C38" s="134"/>
      <c r="D38" s="134"/>
      <c r="E38" s="135">
        <f t="shared" ref="E38:J38" si="8">E273</f>
        <v>3719954.33</v>
      </c>
      <c r="F38" s="135">
        <f t="shared" si="8"/>
        <v>4095200</v>
      </c>
      <c r="G38" s="135">
        <f t="shared" si="8"/>
        <v>3970300</v>
      </c>
      <c r="H38" s="136">
        <f t="shared" si="8"/>
        <v>4277100</v>
      </c>
      <c r="I38" s="135">
        <f t="shared" si="8"/>
        <v>4386000</v>
      </c>
      <c r="J38" s="135">
        <f t="shared" si="8"/>
        <v>4493500</v>
      </c>
    </row>
    <row r="39" spans="1:10" ht="12.75" customHeight="1" x14ac:dyDescent="0.2">
      <c r="A39" s="133"/>
      <c r="B39" s="134" t="s">
        <v>196</v>
      </c>
      <c r="C39" s="134"/>
      <c r="D39" s="134"/>
      <c r="E39" s="135">
        <f t="shared" ref="E39:J39" si="9">E278</f>
        <v>0</v>
      </c>
      <c r="F39" s="135">
        <f t="shared" si="9"/>
        <v>0</v>
      </c>
      <c r="G39" s="135">
        <f t="shared" si="9"/>
        <v>0</v>
      </c>
      <c r="H39" s="136">
        <f t="shared" si="9"/>
        <v>0</v>
      </c>
      <c r="I39" s="135">
        <f t="shared" si="9"/>
        <v>0</v>
      </c>
      <c r="J39" s="135">
        <f t="shared" si="9"/>
        <v>0</v>
      </c>
    </row>
    <row r="40" spans="1:10" ht="12.75" customHeight="1" x14ac:dyDescent="0.2">
      <c r="A40" s="133"/>
      <c r="B40" s="134" t="s">
        <v>285</v>
      </c>
      <c r="C40" s="134"/>
      <c r="D40" s="134"/>
      <c r="E40" s="135">
        <f t="shared" ref="E40:J40" si="10">E283</f>
        <v>650920.40999999992</v>
      </c>
      <c r="F40" s="135">
        <f t="shared" si="10"/>
        <v>682600</v>
      </c>
      <c r="G40" s="135">
        <f t="shared" si="10"/>
        <v>688700</v>
      </c>
      <c r="H40" s="136">
        <f t="shared" si="10"/>
        <v>697300</v>
      </c>
      <c r="I40" s="135">
        <f t="shared" si="10"/>
        <v>697300</v>
      </c>
      <c r="J40" s="135">
        <f t="shared" si="10"/>
        <v>697300</v>
      </c>
    </row>
    <row r="41" spans="1:10" ht="12.75" customHeight="1" x14ac:dyDescent="0.2">
      <c r="A41" s="133"/>
      <c r="B41" s="134" t="s">
        <v>198</v>
      </c>
      <c r="C41" s="134"/>
      <c r="D41" s="134"/>
      <c r="E41" s="135">
        <f t="shared" ref="E41:J41" si="11">E289</f>
        <v>0</v>
      </c>
      <c r="F41" s="135">
        <f t="shared" si="11"/>
        <v>0</v>
      </c>
      <c r="G41" s="135">
        <f t="shared" si="11"/>
        <v>0</v>
      </c>
      <c r="H41" s="136">
        <f t="shared" si="11"/>
        <v>0</v>
      </c>
      <c r="I41" s="135">
        <f t="shared" si="11"/>
        <v>0</v>
      </c>
      <c r="J41" s="135">
        <f t="shared" si="11"/>
        <v>0</v>
      </c>
    </row>
    <row r="42" spans="1:10" ht="12.6" customHeight="1" x14ac:dyDescent="0.2">
      <c r="A42" s="133"/>
      <c r="B42" s="134" t="s">
        <v>286</v>
      </c>
      <c r="C42" s="134"/>
      <c r="D42" s="134"/>
      <c r="E42" s="135">
        <f t="shared" ref="E42:J42" si="12">E295</f>
        <v>1146288.7899999998</v>
      </c>
      <c r="F42" s="135">
        <f t="shared" si="12"/>
        <v>1273400</v>
      </c>
      <c r="G42" s="135">
        <f t="shared" si="12"/>
        <v>1285100</v>
      </c>
      <c r="H42" s="136">
        <f t="shared" si="12"/>
        <v>1292300</v>
      </c>
      <c r="I42" s="135">
        <f t="shared" si="12"/>
        <v>1257300</v>
      </c>
      <c r="J42" s="135">
        <f t="shared" si="12"/>
        <v>1257300</v>
      </c>
    </row>
    <row r="43" spans="1:10" ht="15" customHeight="1" x14ac:dyDescent="0.2">
      <c r="A43" s="139" t="s">
        <v>287</v>
      </c>
      <c r="B43" s="139"/>
      <c r="C43" s="139"/>
      <c r="D43" s="139"/>
      <c r="E43" s="140">
        <f t="shared" ref="E43:J43" si="13">SUM(E38:E42)</f>
        <v>5517163.5300000003</v>
      </c>
      <c r="F43" s="140">
        <f t="shared" si="13"/>
        <v>6051200</v>
      </c>
      <c r="G43" s="140">
        <f t="shared" si="13"/>
        <v>5944100</v>
      </c>
      <c r="H43" s="140">
        <f t="shared" si="13"/>
        <v>6266700</v>
      </c>
      <c r="I43" s="140">
        <f t="shared" si="13"/>
        <v>6340600</v>
      </c>
      <c r="J43" s="140">
        <f t="shared" si="13"/>
        <v>6448100</v>
      </c>
    </row>
    <row r="44" spans="1:10" x14ac:dyDescent="0.2">
      <c r="A44" s="129"/>
      <c r="B44" s="129"/>
      <c r="C44" s="129"/>
      <c r="D44" s="129"/>
      <c r="E44" s="129"/>
      <c r="F44" s="129"/>
      <c r="G44" s="129"/>
      <c r="H44" s="129"/>
      <c r="I44" s="129"/>
      <c r="J44" s="129"/>
    </row>
    <row r="45" spans="1:10" ht="12" customHeight="1" x14ac:dyDescent="0.2">
      <c r="A45" s="131" t="s">
        <v>15</v>
      </c>
      <c r="B45" s="131"/>
      <c r="C45" s="131"/>
      <c r="D45" s="131"/>
      <c r="E45" s="131"/>
      <c r="F45" s="131"/>
      <c r="G45" s="131"/>
      <c r="H45" s="131"/>
      <c r="I45" s="131"/>
      <c r="J45" s="131"/>
    </row>
    <row r="46" spans="1:10" ht="15" customHeight="1" x14ac:dyDescent="0.2">
      <c r="A46" s="130" t="s">
        <v>243</v>
      </c>
      <c r="B46" s="130" t="s">
        <v>244</v>
      </c>
      <c r="C46" s="131" t="s">
        <v>245</v>
      </c>
      <c r="D46" s="142"/>
      <c r="E46" s="143"/>
      <c r="F46" s="143"/>
      <c r="G46" s="143"/>
      <c r="H46" s="143"/>
      <c r="I46" s="143"/>
      <c r="J46" s="143"/>
    </row>
    <row r="47" spans="1:10" ht="12.75" customHeight="1" x14ac:dyDescent="0.2">
      <c r="A47" s="133"/>
      <c r="B47" s="144"/>
      <c r="C47" s="145"/>
      <c r="D47" s="146"/>
      <c r="E47" s="135"/>
      <c r="F47" s="135"/>
      <c r="G47" s="135"/>
      <c r="H47" s="136"/>
      <c r="I47" s="135"/>
      <c r="J47" s="135"/>
    </row>
    <row r="48" spans="1:10" ht="12.75" customHeight="1" x14ac:dyDescent="0.2">
      <c r="A48" s="139" t="s">
        <v>69</v>
      </c>
      <c r="B48" s="139"/>
      <c r="C48" s="139"/>
      <c r="D48" s="139"/>
      <c r="E48" s="140">
        <f t="shared" ref="E48:J48" si="14">SUM(E47:E47)</f>
        <v>0</v>
      </c>
      <c r="F48" s="140">
        <f t="shared" si="14"/>
        <v>0</v>
      </c>
      <c r="G48" s="140">
        <f t="shared" si="14"/>
        <v>0</v>
      </c>
      <c r="H48" s="140">
        <f t="shared" si="14"/>
        <v>0</v>
      </c>
      <c r="I48" s="140">
        <f t="shared" si="14"/>
        <v>0</v>
      </c>
      <c r="J48" s="140">
        <f t="shared" si="14"/>
        <v>0</v>
      </c>
    </row>
    <row r="49" spans="1:10" ht="15" customHeight="1" x14ac:dyDescent="0.2">
      <c r="A49" s="129"/>
      <c r="B49" s="129"/>
      <c r="C49" s="129"/>
      <c r="D49" s="129"/>
      <c r="E49" s="129"/>
      <c r="F49" s="129"/>
      <c r="G49" s="129"/>
      <c r="H49" s="129"/>
      <c r="I49" s="129"/>
      <c r="J49" s="129"/>
    </row>
    <row r="50" spans="1:10" x14ac:dyDescent="0.2">
      <c r="A50" s="137" t="s">
        <v>282</v>
      </c>
      <c r="B50" s="137"/>
      <c r="C50" s="137"/>
      <c r="D50" s="137"/>
      <c r="E50" s="147">
        <f t="shared" ref="E50:J50" si="15">SUM(E43,E48)</f>
        <v>5517163.5300000003</v>
      </c>
      <c r="F50" s="147">
        <f t="shared" si="15"/>
        <v>6051200</v>
      </c>
      <c r="G50" s="147">
        <f t="shared" si="15"/>
        <v>5944100</v>
      </c>
      <c r="H50" s="147">
        <f t="shared" si="15"/>
        <v>6266700</v>
      </c>
      <c r="I50" s="147">
        <f t="shared" si="15"/>
        <v>6340600</v>
      </c>
      <c r="J50" s="147">
        <f t="shared" si="15"/>
        <v>6448100</v>
      </c>
    </row>
    <row r="51" spans="1:10" x14ac:dyDescent="0.2">
      <c r="A51" s="129"/>
      <c r="B51" s="129"/>
      <c r="C51" s="129"/>
      <c r="D51" s="129"/>
      <c r="E51" s="129"/>
      <c r="F51" s="129"/>
      <c r="G51" s="129"/>
      <c r="H51" s="129"/>
      <c r="I51" s="129"/>
      <c r="J51" s="129"/>
    </row>
    <row r="52" spans="1:10" ht="12" customHeight="1" x14ac:dyDescent="0.2">
      <c r="A52" s="128" t="s">
        <v>288</v>
      </c>
      <c r="B52" s="128"/>
      <c r="C52" s="128"/>
      <c r="D52" s="128"/>
      <c r="E52" s="128"/>
      <c r="F52" s="128"/>
      <c r="G52" s="128"/>
      <c r="H52" s="128"/>
      <c r="I52" s="128"/>
      <c r="J52" s="128"/>
    </row>
    <row r="53" spans="1:10" x14ac:dyDescent="0.2">
      <c r="A53" s="137" t="s">
        <v>289</v>
      </c>
      <c r="B53" s="137"/>
      <c r="C53" s="137"/>
      <c r="D53" s="137"/>
      <c r="E53" s="148"/>
      <c r="F53" s="148"/>
      <c r="G53" s="148"/>
      <c r="H53" s="148"/>
      <c r="I53" s="149"/>
      <c r="J53" s="149"/>
    </row>
    <row r="54" spans="1:10" ht="15" customHeight="1" x14ac:dyDescent="0.2">
      <c r="A54" s="129"/>
      <c r="B54" s="129"/>
      <c r="C54" s="129"/>
      <c r="D54" s="129"/>
      <c r="E54" s="129"/>
      <c r="F54" s="129"/>
      <c r="G54" s="129"/>
      <c r="H54" s="129"/>
      <c r="I54" s="129"/>
      <c r="J54" s="129"/>
    </row>
    <row r="55" spans="1:10" ht="12.75" customHeight="1" x14ac:dyDescent="0.2">
      <c r="A55" s="150" t="s">
        <v>290</v>
      </c>
      <c r="B55" s="150"/>
      <c r="C55" s="150"/>
      <c r="D55" s="150"/>
      <c r="E55" s="150"/>
      <c r="F55" s="150"/>
      <c r="G55" s="150"/>
      <c r="H55" s="150"/>
      <c r="I55" s="150"/>
      <c r="J55" s="150"/>
    </row>
    <row r="56" spans="1:10" ht="11.25" customHeight="1" x14ac:dyDescent="0.2">
      <c r="A56" s="151" t="s">
        <v>291</v>
      </c>
      <c r="B56" s="151"/>
      <c r="C56" s="151"/>
      <c r="D56" s="101"/>
      <c r="E56" s="101"/>
      <c r="F56" s="101"/>
      <c r="G56" s="101"/>
      <c r="H56" s="101"/>
      <c r="I56" s="101"/>
      <c r="J56" s="101"/>
    </row>
    <row r="57" spans="1:10" ht="15" customHeight="1" x14ac:dyDescent="0.2">
      <c r="A57" s="129" t="s">
        <v>292</v>
      </c>
      <c r="B57" s="129"/>
      <c r="C57" s="129"/>
      <c r="D57" s="129"/>
      <c r="E57" s="129"/>
      <c r="F57" s="129"/>
      <c r="G57" s="129"/>
      <c r="H57" s="129"/>
      <c r="I57" s="129"/>
      <c r="J57" s="129"/>
    </row>
    <row r="58" spans="1:10" x14ac:dyDescent="0.2">
      <c r="A58" s="128" t="s">
        <v>293</v>
      </c>
      <c r="B58" s="128"/>
      <c r="C58" s="128"/>
      <c r="D58" s="128"/>
      <c r="E58" s="128"/>
      <c r="F58" s="128"/>
      <c r="G58" s="128"/>
      <c r="H58" s="128"/>
      <c r="I58" s="128"/>
      <c r="J58" s="128"/>
    </row>
    <row r="59" spans="1:10" ht="33.75" x14ac:dyDescent="0.2">
      <c r="A59" s="152" t="s">
        <v>243</v>
      </c>
      <c r="B59" s="151" t="s">
        <v>242</v>
      </c>
      <c r="C59" s="151"/>
      <c r="D59" s="151"/>
      <c r="E59" s="132" t="str">
        <f t="shared" ref="E59:J59" si="16">E23</f>
        <v>Actuals           2014-2015</v>
      </c>
      <c r="F59" s="132" t="str">
        <f t="shared" si="16"/>
        <v>Approved Estimates          2015-2016</v>
      </c>
      <c r="G59" s="132" t="str">
        <f t="shared" si="16"/>
        <v>Revised Estimates                 2015-2016</v>
      </c>
      <c r="H59" s="132" t="str">
        <f t="shared" si="16"/>
        <v>Budget Estimates      2016-2017</v>
      </c>
      <c r="I59" s="132" t="str">
        <f t="shared" si="16"/>
        <v>Forward Estimates     2017-2018</v>
      </c>
      <c r="J59" s="132" t="str">
        <f t="shared" si="16"/>
        <v>Forward Estimates     2018-2019</v>
      </c>
    </row>
    <row r="60" spans="1:10" ht="12.75" customHeight="1" x14ac:dyDescent="0.2">
      <c r="A60" s="133"/>
      <c r="B60" s="134"/>
      <c r="C60" s="134"/>
      <c r="D60" s="134"/>
      <c r="E60" s="135"/>
      <c r="F60" s="135"/>
      <c r="G60" s="135"/>
      <c r="H60" s="136"/>
      <c r="I60" s="135"/>
      <c r="J60" s="135"/>
    </row>
    <row r="61" spans="1:10" x14ac:dyDescent="0.2">
      <c r="A61" s="137" t="s">
        <v>280</v>
      </c>
      <c r="B61" s="137"/>
      <c r="C61" s="137"/>
      <c r="D61" s="137"/>
      <c r="E61" s="138">
        <f t="shared" ref="E61:J61" si="17">SUM(E60:E60)</f>
        <v>0</v>
      </c>
      <c r="F61" s="138">
        <f t="shared" si="17"/>
        <v>0</v>
      </c>
      <c r="G61" s="138">
        <f t="shared" si="17"/>
        <v>0</v>
      </c>
      <c r="H61" s="138">
        <f t="shared" si="17"/>
        <v>0</v>
      </c>
      <c r="I61" s="138">
        <f t="shared" si="17"/>
        <v>0</v>
      </c>
      <c r="J61" s="138">
        <f t="shared" si="17"/>
        <v>0</v>
      </c>
    </row>
    <row r="62" spans="1:10" x14ac:dyDescent="0.2">
      <c r="A62" s="129"/>
      <c r="B62" s="129"/>
      <c r="C62" s="129"/>
      <c r="D62" s="129"/>
      <c r="E62" s="129"/>
      <c r="F62" s="129"/>
      <c r="G62" s="129"/>
      <c r="H62" s="129"/>
      <c r="I62" s="129"/>
      <c r="J62" s="129"/>
    </row>
    <row r="63" spans="1:10" ht="12" customHeight="1" x14ac:dyDescent="0.2">
      <c r="A63" s="128" t="s">
        <v>284</v>
      </c>
      <c r="B63" s="128"/>
      <c r="C63" s="128"/>
      <c r="D63" s="128"/>
      <c r="E63" s="128"/>
      <c r="F63" s="128"/>
      <c r="G63" s="128"/>
      <c r="H63" s="128"/>
      <c r="I63" s="128"/>
      <c r="J63" s="128"/>
    </row>
    <row r="64" spans="1:10" ht="33.75" x14ac:dyDescent="0.2">
      <c r="A64" s="152" t="s">
        <v>243</v>
      </c>
      <c r="B64" s="151" t="s">
        <v>242</v>
      </c>
      <c r="C64" s="151"/>
      <c r="D64" s="151"/>
      <c r="E64" s="132" t="str">
        <f t="shared" ref="E64:J64" si="18">E23</f>
        <v>Actuals           2014-2015</v>
      </c>
      <c r="F64" s="132" t="str">
        <f t="shared" si="18"/>
        <v>Approved Estimates          2015-2016</v>
      </c>
      <c r="G64" s="132" t="str">
        <f t="shared" si="18"/>
        <v>Revised Estimates                 2015-2016</v>
      </c>
      <c r="H64" s="132" t="str">
        <f t="shared" si="18"/>
        <v>Budget Estimates      2016-2017</v>
      </c>
      <c r="I64" s="132" t="str">
        <f t="shared" si="18"/>
        <v>Forward Estimates     2017-2018</v>
      </c>
      <c r="J64" s="132" t="str">
        <f t="shared" si="18"/>
        <v>Forward Estimates     2018-2019</v>
      </c>
    </row>
    <row r="65" spans="1:10" ht="11.25" customHeight="1" x14ac:dyDescent="0.2">
      <c r="A65" s="153" t="s">
        <v>7</v>
      </c>
      <c r="B65" s="154"/>
      <c r="C65" s="154"/>
      <c r="D65" s="154"/>
      <c r="E65" s="154"/>
      <c r="F65" s="154"/>
      <c r="G65" s="154"/>
      <c r="H65" s="154"/>
      <c r="I65" s="154"/>
      <c r="J65" s="155"/>
    </row>
    <row r="66" spans="1:10" ht="12.75" customHeight="1" x14ac:dyDescent="0.2">
      <c r="A66" s="133">
        <v>210</v>
      </c>
      <c r="B66" s="134" t="s">
        <v>7</v>
      </c>
      <c r="C66" s="134"/>
      <c r="D66" s="134"/>
      <c r="E66" s="135">
        <v>892593.29</v>
      </c>
      <c r="F66" s="135">
        <v>1020900</v>
      </c>
      <c r="G66" s="135">
        <v>997900</v>
      </c>
      <c r="H66" s="136">
        <v>1048200</v>
      </c>
      <c r="I66" s="135">
        <v>1076000</v>
      </c>
      <c r="J66" s="135">
        <v>1102400</v>
      </c>
    </row>
    <row r="67" spans="1:10" ht="12.75" customHeight="1" x14ac:dyDescent="0.2">
      <c r="A67" s="133">
        <v>212</v>
      </c>
      <c r="B67" s="134" t="s">
        <v>9</v>
      </c>
      <c r="C67" s="134"/>
      <c r="D67" s="134"/>
      <c r="E67" s="135">
        <v>0</v>
      </c>
      <c r="F67" s="135">
        <v>0</v>
      </c>
      <c r="G67" s="135">
        <v>0</v>
      </c>
      <c r="H67" s="136">
        <v>0</v>
      </c>
      <c r="I67" s="135">
        <v>0</v>
      </c>
      <c r="J67" s="135">
        <v>0</v>
      </c>
    </row>
    <row r="68" spans="1:10" ht="12.75" customHeight="1" x14ac:dyDescent="0.2">
      <c r="A68" s="133">
        <v>216</v>
      </c>
      <c r="B68" s="134" t="s">
        <v>10</v>
      </c>
      <c r="C68" s="134"/>
      <c r="D68" s="134"/>
      <c r="E68" s="135">
        <v>142446.25</v>
      </c>
      <c r="F68" s="135">
        <v>154400</v>
      </c>
      <c r="G68" s="135">
        <v>152500</v>
      </c>
      <c r="H68" s="136">
        <v>157600</v>
      </c>
      <c r="I68" s="135">
        <v>157600</v>
      </c>
      <c r="J68" s="135">
        <v>157600</v>
      </c>
    </row>
    <row r="69" spans="1:10" ht="12.75" customHeight="1" x14ac:dyDescent="0.2">
      <c r="A69" s="133">
        <v>218</v>
      </c>
      <c r="B69" s="134" t="s">
        <v>294</v>
      </c>
      <c r="C69" s="134"/>
      <c r="D69" s="134"/>
      <c r="E69" s="135"/>
      <c r="F69" s="135">
        <v>0</v>
      </c>
      <c r="G69" s="135">
        <v>0</v>
      </c>
      <c r="H69" s="136">
        <v>0</v>
      </c>
      <c r="I69" s="135">
        <v>0</v>
      </c>
      <c r="J69" s="135">
        <v>0</v>
      </c>
    </row>
    <row r="70" spans="1:10" ht="11.25" customHeight="1" x14ac:dyDescent="0.2">
      <c r="A70" s="156" t="s">
        <v>295</v>
      </c>
      <c r="B70" s="156"/>
      <c r="C70" s="156"/>
      <c r="D70" s="156"/>
      <c r="E70" s="157">
        <f t="shared" ref="E70:J70" si="19">SUM(E66:E69)</f>
        <v>1035039.54</v>
      </c>
      <c r="F70" s="157">
        <f t="shared" si="19"/>
        <v>1175300</v>
      </c>
      <c r="G70" s="157">
        <f t="shared" si="19"/>
        <v>1150400</v>
      </c>
      <c r="H70" s="157">
        <f t="shared" si="19"/>
        <v>1205800</v>
      </c>
      <c r="I70" s="157">
        <f t="shared" si="19"/>
        <v>1233600</v>
      </c>
      <c r="J70" s="157">
        <f t="shared" si="19"/>
        <v>1260000</v>
      </c>
    </row>
    <row r="71" spans="1:10" ht="11.25" customHeight="1" x14ac:dyDescent="0.2">
      <c r="A71" s="153" t="s">
        <v>296</v>
      </c>
      <c r="B71" s="154"/>
      <c r="C71" s="154"/>
      <c r="D71" s="154"/>
      <c r="E71" s="154"/>
      <c r="F71" s="154"/>
      <c r="G71" s="154"/>
      <c r="H71" s="154"/>
      <c r="I71" s="154"/>
      <c r="J71" s="155"/>
    </row>
    <row r="72" spans="1:10" ht="12.75" customHeight="1" x14ac:dyDescent="0.2">
      <c r="A72" s="133">
        <v>228</v>
      </c>
      <c r="B72" s="134" t="s">
        <v>297</v>
      </c>
      <c r="C72" s="134"/>
      <c r="D72" s="134"/>
      <c r="E72" s="135">
        <v>6950.7199999999993</v>
      </c>
      <c r="F72" s="158">
        <v>7000</v>
      </c>
      <c r="G72" s="158">
        <v>7000</v>
      </c>
      <c r="H72" s="136">
        <v>7000</v>
      </c>
      <c r="I72" s="158">
        <v>7000</v>
      </c>
      <c r="J72" s="158">
        <v>7000</v>
      </c>
    </row>
    <row r="73" spans="1:10" ht="12.75" customHeight="1" x14ac:dyDescent="0.2">
      <c r="A73" s="133">
        <v>230</v>
      </c>
      <c r="B73" s="134" t="s">
        <v>210</v>
      </c>
      <c r="C73" s="134"/>
      <c r="D73" s="134"/>
      <c r="E73" s="135">
        <v>39901.82</v>
      </c>
      <c r="F73" s="158">
        <v>40000</v>
      </c>
      <c r="G73" s="158">
        <v>40000</v>
      </c>
      <c r="H73" s="136">
        <v>40000</v>
      </c>
      <c r="I73" s="158">
        <v>40000</v>
      </c>
      <c r="J73" s="158">
        <v>40000</v>
      </c>
    </row>
    <row r="74" spans="1:10" ht="12.75" customHeight="1" x14ac:dyDescent="0.2">
      <c r="A74" s="133">
        <v>232</v>
      </c>
      <c r="B74" s="134" t="s">
        <v>211</v>
      </c>
      <c r="C74" s="134"/>
      <c r="D74" s="134"/>
      <c r="E74" s="135">
        <v>99733.29</v>
      </c>
      <c r="F74" s="158">
        <v>100000</v>
      </c>
      <c r="G74" s="158">
        <v>109400</v>
      </c>
      <c r="H74" s="136">
        <v>100000</v>
      </c>
      <c r="I74" s="158">
        <v>100000</v>
      </c>
      <c r="J74" s="158">
        <v>100000</v>
      </c>
    </row>
    <row r="75" spans="1:10" ht="12.75" customHeight="1" x14ac:dyDescent="0.2">
      <c r="A75" s="133">
        <v>242</v>
      </c>
      <c r="B75" s="134" t="s">
        <v>216</v>
      </c>
      <c r="C75" s="134"/>
      <c r="D75" s="134"/>
      <c r="E75" s="135">
        <v>19972.62</v>
      </c>
      <c r="F75" s="158">
        <v>20000</v>
      </c>
      <c r="G75" s="158">
        <v>20000</v>
      </c>
      <c r="H75" s="136">
        <v>20000</v>
      </c>
      <c r="I75" s="158">
        <v>20000</v>
      </c>
      <c r="J75" s="158">
        <v>20000</v>
      </c>
    </row>
    <row r="76" spans="1:10" ht="12" customHeight="1" x14ac:dyDescent="0.2">
      <c r="A76" s="156" t="s">
        <v>298</v>
      </c>
      <c r="B76" s="156"/>
      <c r="C76" s="156"/>
      <c r="D76" s="156"/>
      <c r="E76" s="157">
        <f t="shared" ref="E76:J76" si="20">SUM(E72:E75)</f>
        <v>166558.44999999998</v>
      </c>
      <c r="F76" s="157">
        <f t="shared" si="20"/>
        <v>167000</v>
      </c>
      <c r="G76" s="157">
        <f t="shared" si="20"/>
        <v>176400</v>
      </c>
      <c r="H76" s="157">
        <f t="shared" si="20"/>
        <v>167000</v>
      </c>
      <c r="I76" s="157">
        <f t="shared" si="20"/>
        <v>167000</v>
      </c>
      <c r="J76" s="157">
        <f t="shared" si="20"/>
        <v>167000</v>
      </c>
    </row>
    <row r="77" spans="1:10" ht="12" customHeight="1" x14ac:dyDescent="0.2">
      <c r="A77" s="159" t="s">
        <v>299</v>
      </c>
      <c r="B77" s="159"/>
      <c r="C77" s="159"/>
      <c r="D77" s="159"/>
      <c r="E77" s="160">
        <f t="shared" ref="E77:J77" si="21">SUM(E70,E76)</f>
        <v>1201597.99</v>
      </c>
      <c r="F77" s="160">
        <f t="shared" si="21"/>
        <v>1342300</v>
      </c>
      <c r="G77" s="160">
        <f t="shared" si="21"/>
        <v>1326800</v>
      </c>
      <c r="H77" s="160">
        <f t="shared" si="21"/>
        <v>1372800</v>
      </c>
      <c r="I77" s="160">
        <f t="shared" si="21"/>
        <v>1400600</v>
      </c>
      <c r="J77" s="160">
        <f t="shared" si="21"/>
        <v>1427000</v>
      </c>
    </row>
    <row r="78" spans="1:10" ht="7.5" customHeight="1" x14ac:dyDescent="0.2">
      <c r="A78" s="161"/>
      <c r="B78" s="161"/>
      <c r="C78" s="161"/>
      <c r="D78" s="161"/>
      <c r="E78" s="161"/>
      <c r="F78" s="161"/>
      <c r="G78" s="161"/>
      <c r="H78" s="161"/>
      <c r="I78" s="161"/>
      <c r="J78" s="161"/>
    </row>
    <row r="79" spans="1:10" ht="12" customHeight="1" x14ac:dyDescent="0.2">
      <c r="A79" s="162" t="s">
        <v>15</v>
      </c>
      <c r="B79" s="162"/>
      <c r="C79" s="162"/>
      <c r="D79" s="162"/>
      <c r="E79" s="162"/>
      <c r="F79" s="162"/>
      <c r="G79" s="162"/>
      <c r="H79" s="162"/>
      <c r="I79" s="162"/>
      <c r="J79" s="162"/>
    </row>
    <row r="80" spans="1:10" ht="33.75" x14ac:dyDescent="0.2">
      <c r="A80" s="131" t="s">
        <v>242</v>
      </c>
      <c r="B80" s="131"/>
      <c r="C80" s="131"/>
      <c r="D80" s="131"/>
      <c r="E80" s="132" t="str">
        <f t="shared" ref="E80:J80" si="22">E23</f>
        <v>Actuals           2014-2015</v>
      </c>
      <c r="F80" s="132" t="str">
        <f t="shared" si="22"/>
        <v>Approved Estimates          2015-2016</v>
      </c>
      <c r="G80" s="132" t="str">
        <f t="shared" si="22"/>
        <v>Revised Estimates                 2015-2016</v>
      </c>
      <c r="H80" s="132" t="str">
        <f t="shared" si="22"/>
        <v>Budget Estimates      2016-2017</v>
      </c>
      <c r="I80" s="132" t="str">
        <f t="shared" si="22"/>
        <v>Forward Estimates     2017-2018</v>
      </c>
      <c r="J80" s="132" t="str">
        <f t="shared" si="22"/>
        <v>Forward Estimates     2018-2019</v>
      </c>
    </row>
    <row r="81" spans="1:10" ht="15.75" customHeight="1" x14ac:dyDescent="0.2">
      <c r="A81" s="130" t="s">
        <v>243</v>
      </c>
      <c r="B81" s="130" t="s">
        <v>244</v>
      </c>
      <c r="C81" s="131" t="s">
        <v>245</v>
      </c>
      <c r="D81" s="131"/>
      <c r="E81" s="132"/>
      <c r="F81" s="132"/>
      <c r="G81" s="132"/>
      <c r="H81" s="132"/>
      <c r="I81" s="132"/>
      <c r="J81" s="132"/>
    </row>
    <row r="82" spans="1:10" x14ac:dyDescent="0.2">
      <c r="A82" s="163"/>
      <c r="B82" s="163"/>
      <c r="C82" s="156"/>
      <c r="D82" s="156"/>
      <c r="E82" s="136"/>
      <c r="F82" s="136"/>
      <c r="G82" s="136"/>
      <c r="H82" s="136"/>
      <c r="I82" s="158"/>
      <c r="J82" s="135"/>
    </row>
    <row r="83" spans="1:10" ht="12" customHeight="1" x14ac:dyDescent="0.2">
      <c r="A83" s="137" t="s">
        <v>15</v>
      </c>
      <c r="B83" s="137"/>
      <c r="C83" s="137"/>
      <c r="D83" s="137"/>
      <c r="E83" s="164">
        <v>0</v>
      </c>
      <c r="F83" s="164">
        <v>0</v>
      </c>
      <c r="G83" s="164">
        <v>0</v>
      </c>
      <c r="H83" s="164">
        <v>0</v>
      </c>
      <c r="I83" s="164">
        <v>0</v>
      </c>
      <c r="J83" s="164">
        <v>0</v>
      </c>
    </row>
    <row r="84" spans="1:10" ht="8.25" customHeight="1" x14ac:dyDescent="0.2">
      <c r="A84" s="165"/>
      <c r="B84" s="166"/>
      <c r="C84" s="166"/>
      <c r="D84" s="166"/>
      <c r="E84" s="166"/>
      <c r="F84" s="166"/>
      <c r="G84" s="166"/>
      <c r="H84" s="166"/>
      <c r="I84" s="166"/>
      <c r="J84" s="167"/>
    </row>
    <row r="85" spans="1:10" ht="12" customHeight="1" x14ac:dyDescent="0.2">
      <c r="A85" s="161" t="s">
        <v>288</v>
      </c>
      <c r="B85" s="161"/>
      <c r="C85" s="161"/>
      <c r="D85" s="161"/>
      <c r="E85" s="161"/>
      <c r="F85" s="161"/>
      <c r="G85" s="161"/>
      <c r="H85" s="161"/>
      <c r="I85" s="161"/>
      <c r="J85" s="161"/>
    </row>
    <row r="86" spans="1:10" ht="12" customHeight="1" x14ac:dyDescent="0.2">
      <c r="A86" s="168" t="s">
        <v>300</v>
      </c>
      <c r="B86" s="168"/>
      <c r="C86" s="168"/>
      <c r="D86" s="169" t="s">
        <v>301</v>
      </c>
      <c r="E86" s="170" t="s">
        <v>302</v>
      </c>
      <c r="F86" s="171"/>
      <c r="G86" s="171"/>
      <c r="H86" s="172"/>
      <c r="I86" s="172"/>
      <c r="J86" s="173"/>
    </row>
    <row r="87" spans="1:10" ht="12" customHeight="1" x14ac:dyDescent="0.2">
      <c r="A87" s="134" t="str">
        <f>Establishment!D3</f>
        <v>Chief Fire Officer</v>
      </c>
      <c r="B87" s="134"/>
      <c r="C87" s="134"/>
      <c r="D87" s="133" t="str">
        <f>Establishment!E3</f>
        <v>R17-13</v>
      </c>
      <c r="E87" s="144">
        <f>Establishment!C3</f>
        <v>1</v>
      </c>
      <c r="F87" s="171"/>
      <c r="G87" s="171"/>
      <c r="H87" s="171"/>
      <c r="I87" s="171"/>
      <c r="J87" s="174"/>
    </row>
    <row r="88" spans="1:10" ht="12" customHeight="1" x14ac:dyDescent="0.2">
      <c r="A88" s="134" t="str">
        <f>Establishment!D4</f>
        <v>Deputy Chief Fire Officer</v>
      </c>
      <c r="B88" s="134"/>
      <c r="C88" s="134"/>
      <c r="D88" s="133" t="str">
        <f>Establishment!E4</f>
        <v>R22-18</v>
      </c>
      <c r="E88" s="144">
        <f>Establishment!C4</f>
        <v>1</v>
      </c>
      <c r="F88" s="171"/>
      <c r="G88" s="171"/>
      <c r="H88" s="171"/>
      <c r="I88" s="171"/>
      <c r="J88" s="174"/>
    </row>
    <row r="89" spans="1:10" ht="12" customHeight="1" x14ac:dyDescent="0.2">
      <c r="A89" s="134" t="str">
        <f>Establishment!D5</f>
        <v>Fire Officer</v>
      </c>
      <c r="B89" s="134"/>
      <c r="C89" s="134"/>
      <c r="D89" s="133" t="str">
        <f>Establishment!E5</f>
        <v>R27-23</v>
      </c>
      <c r="E89" s="144">
        <f>Establishment!C5</f>
        <v>5</v>
      </c>
      <c r="F89" s="171"/>
      <c r="G89" s="171"/>
      <c r="H89" s="171"/>
      <c r="I89" s="171"/>
      <c r="J89" s="174"/>
    </row>
    <row r="90" spans="1:10" ht="12" customHeight="1" x14ac:dyDescent="0.2">
      <c r="A90" s="134" t="str">
        <f>Establishment!D6</f>
        <v>Firefighter</v>
      </c>
      <c r="B90" s="134"/>
      <c r="C90" s="134"/>
      <c r="D90" s="133" t="str">
        <f>Establishment!E6</f>
        <v>R39-28</v>
      </c>
      <c r="E90" s="144">
        <f>Establishment!C6</f>
        <v>20</v>
      </c>
      <c r="F90" s="171"/>
      <c r="G90" s="171"/>
      <c r="H90" s="171"/>
      <c r="I90" s="171"/>
      <c r="J90" s="174"/>
    </row>
    <row r="91" spans="1:10" ht="12" customHeight="1" x14ac:dyDescent="0.2">
      <c r="A91" s="159" t="s">
        <v>303</v>
      </c>
      <c r="B91" s="159"/>
      <c r="C91" s="159"/>
      <c r="D91" s="159"/>
      <c r="E91" s="175">
        <f>SUM(E87:E90)</f>
        <v>27</v>
      </c>
      <c r="F91" s="176"/>
      <c r="G91" s="176"/>
      <c r="H91" s="177"/>
      <c r="I91" s="177"/>
      <c r="J91" s="178"/>
    </row>
    <row r="92" spans="1:10" x14ac:dyDescent="0.2">
      <c r="A92" s="179"/>
      <c r="B92" s="179"/>
      <c r="C92" s="179"/>
      <c r="D92" s="179"/>
      <c r="E92" s="179"/>
      <c r="F92" s="179"/>
      <c r="G92" s="179"/>
      <c r="H92" s="179"/>
      <c r="I92" s="179"/>
      <c r="J92" s="179"/>
    </row>
    <row r="93" spans="1:10" ht="12" customHeight="1" x14ac:dyDescent="0.2">
      <c r="A93" s="180" t="s">
        <v>304</v>
      </c>
      <c r="B93" s="180"/>
      <c r="C93" s="180"/>
      <c r="D93" s="180"/>
      <c r="E93" s="180"/>
      <c r="F93" s="180"/>
      <c r="G93" s="180"/>
      <c r="H93" s="180"/>
      <c r="I93" s="180"/>
      <c r="J93" s="180"/>
    </row>
    <row r="94" spans="1:10" ht="12" customHeight="1" x14ac:dyDescent="0.2">
      <c r="A94" s="181" t="s">
        <v>305</v>
      </c>
      <c r="B94" s="181"/>
      <c r="C94" s="181"/>
      <c r="D94" s="181"/>
      <c r="E94" s="181"/>
      <c r="F94" s="181"/>
      <c r="G94" s="181"/>
      <c r="H94" s="181"/>
      <c r="I94" s="181"/>
      <c r="J94" s="181"/>
    </row>
    <row r="95" spans="1:10" x14ac:dyDescent="0.2">
      <c r="A95" s="182" t="s">
        <v>306</v>
      </c>
      <c r="B95" s="129"/>
      <c r="C95" s="129"/>
      <c r="D95" s="129"/>
      <c r="E95" s="129"/>
      <c r="F95" s="129"/>
      <c r="G95" s="129"/>
      <c r="H95" s="129"/>
      <c r="I95" s="129"/>
      <c r="J95" s="129"/>
    </row>
    <row r="96" spans="1:10" x14ac:dyDescent="0.2">
      <c r="A96" s="182" t="s">
        <v>307</v>
      </c>
      <c r="B96" s="129"/>
      <c r="C96" s="129"/>
      <c r="D96" s="129"/>
      <c r="E96" s="129"/>
      <c r="F96" s="129"/>
      <c r="G96" s="129"/>
      <c r="H96" s="129"/>
      <c r="I96" s="129"/>
      <c r="J96" s="129"/>
    </row>
    <row r="97" spans="1:10" x14ac:dyDescent="0.2">
      <c r="A97" s="182" t="s">
        <v>308</v>
      </c>
      <c r="B97" s="129"/>
      <c r="C97" s="129"/>
      <c r="D97" s="129"/>
      <c r="E97" s="129"/>
      <c r="F97" s="129"/>
      <c r="G97" s="129"/>
      <c r="H97" s="129"/>
      <c r="I97" s="129"/>
      <c r="J97" s="129"/>
    </row>
    <row r="98" spans="1:10" x14ac:dyDescent="0.2">
      <c r="A98" s="182" t="s">
        <v>309</v>
      </c>
      <c r="B98" s="129"/>
      <c r="C98" s="129"/>
      <c r="D98" s="129"/>
      <c r="E98" s="129"/>
      <c r="F98" s="129"/>
      <c r="G98" s="129"/>
      <c r="H98" s="129"/>
      <c r="I98" s="129"/>
      <c r="J98" s="129"/>
    </row>
    <row r="99" spans="1:10" ht="21.75" customHeight="1" x14ac:dyDescent="0.2">
      <c r="A99" s="129" t="s">
        <v>310</v>
      </c>
      <c r="B99" s="129"/>
      <c r="C99" s="129"/>
      <c r="D99" s="129"/>
      <c r="E99" s="129"/>
      <c r="F99" s="129"/>
      <c r="G99" s="129"/>
      <c r="H99" s="129"/>
      <c r="I99" s="129"/>
      <c r="J99" s="129"/>
    </row>
    <row r="100" spans="1:10" ht="9.75" customHeight="1" x14ac:dyDescent="0.2">
      <c r="A100" s="129"/>
      <c r="B100" s="129"/>
      <c r="C100" s="129"/>
      <c r="D100" s="129"/>
      <c r="E100" s="129"/>
      <c r="F100" s="129"/>
      <c r="G100" s="129"/>
      <c r="H100" s="129"/>
      <c r="I100" s="129"/>
      <c r="J100" s="129"/>
    </row>
    <row r="101" spans="1:10" ht="11.25" customHeight="1" x14ac:dyDescent="0.2">
      <c r="A101" s="183" t="s">
        <v>311</v>
      </c>
      <c r="B101" s="183"/>
      <c r="C101" s="183"/>
      <c r="D101" s="183"/>
      <c r="E101" s="183"/>
      <c r="F101" s="183"/>
      <c r="G101" s="183"/>
      <c r="H101" s="183"/>
      <c r="I101" s="183"/>
      <c r="J101" s="183"/>
    </row>
    <row r="102" spans="1:10" ht="14.25" customHeight="1" x14ac:dyDescent="0.2">
      <c r="A102" s="129" t="s">
        <v>312</v>
      </c>
      <c r="B102" s="129"/>
      <c r="C102" s="129"/>
      <c r="D102" s="129"/>
      <c r="E102" s="129"/>
      <c r="F102" s="129"/>
      <c r="G102" s="129"/>
      <c r="H102" s="129"/>
      <c r="I102" s="129"/>
      <c r="J102" s="129"/>
    </row>
    <row r="103" spans="1:10" ht="14.25" customHeight="1" x14ac:dyDescent="0.2">
      <c r="A103" s="129" t="s">
        <v>313</v>
      </c>
      <c r="B103" s="129"/>
      <c r="C103" s="129"/>
      <c r="D103" s="129"/>
      <c r="E103" s="129"/>
      <c r="F103" s="129"/>
      <c r="G103" s="129"/>
      <c r="H103" s="129"/>
      <c r="I103" s="129"/>
      <c r="J103" s="129"/>
    </row>
    <row r="104" spans="1:10" x14ac:dyDescent="0.2">
      <c r="A104" s="129" t="s">
        <v>314</v>
      </c>
      <c r="B104" s="129"/>
      <c r="C104" s="129"/>
      <c r="D104" s="129"/>
      <c r="E104" s="129"/>
      <c r="F104" s="129"/>
      <c r="G104" s="129"/>
      <c r="H104" s="129"/>
      <c r="I104" s="129"/>
      <c r="J104" s="129"/>
    </row>
    <row r="105" spans="1:10" x14ac:dyDescent="0.2">
      <c r="A105" s="129"/>
      <c r="B105" s="129"/>
      <c r="C105" s="129"/>
      <c r="D105" s="129"/>
      <c r="E105" s="129"/>
      <c r="F105" s="129"/>
      <c r="G105" s="129"/>
      <c r="H105" s="129"/>
      <c r="I105" s="129"/>
      <c r="J105" s="129"/>
    </row>
    <row r="106" spans="1:10" ht="22.5" x14ac:dyDescent="0.2">
      <c r="A106" s="180" t="s">
        <v>315</v>
      </c>
      <c r="B106" s="180"/>
      <c r="C106" s="180"/>
      <c r="D106" s="180"/>
      <c r="E106" s="180"/>
      <c r="F106" s="184" t="s">
        <v>2995</v>
      </c>
      <c r="G106" s="184" t="s">
        <v>2996</v>
      </c>
      <c r="H106" s="184" t="s">
        <v>2997</v>
      </c>
      <c r="I106" s="184" t="s">
        <v>2998</v>
      </c>
      <c r="J106" s="184" t="s">
        <v>2999</v>
      </c>
    </row>
    <row r="107" spans="1:10" ht="12" customHeight="1" x14ac:dyDescent="0.2">
      <c r="A107" s="180" t="s">
        <v>316</v>
      </c>
      <c r="B107" s="180"/>
      <c r="C107" s="180"/>
      <c r="D107" s="180"/>
      <c r="E107" s="180"/>
      <c r="F107" s="180"/>
      <c r="G107" s="180"/>
      <c r="H107" s="180"/>
      <c r="I107" s="180"/>
      <c r="J107" s="180"/>
    </row>
    <row r="108" spans="1:10" s="187" customFormat="1" ht="12" customHeight="1" x14ac:dyDescent="0.2">
      <c r="A108" s="129" t="s">
        <v>317</v>
      </c>
      <c r="B108" s="129"/>
      <c r="C108" s="129"/>
      <c r="D108" s="129"/>
      <c r="E108" s="129"/>
      <c r="F108" s="185">
        <v>361</v>
      </c>
      <c r="G108" s="186">
        <v>360</v>
      </c>
      <c r="H108" s="186">
        <v>361</v>
      </c>
      <c r="I108" s="186">
        <v>362</v>
      </c>
      <c r="J108" s="186">
        <v>362</v>
      </c>
    </row>
    <row r="109" spans="1:10" s="187" customFormat="1" ht="12" customHeight="1" x14ac:dyDescent="0.2">
      <c r="A109" s="129" t="s">
        <v>318</v>
      </c>
      <c r="B109" s="129"/>
      <c r="C109" s="129"/>
      <c r="D109" s="129"/>
      <c r="E109" s="129"/>
      <c r="F109" s="185">
        <v>352</v>
      </c>
      <c r="G109" s="186">
        <v>320</v>
      </c>
      <c r="H109" s="186">
        <v>360</v>
      </c>
      <c r="I109" s="186">
        <v>370</v>
      </c>
      <c r="J109" s="186">
        <v>360</v>
      </c>
    </row>
    <row r="110" spans="1:10" s="187" customFormat="1" ht="12" customHeight="1" x14ac:dyDescent="0.2">
      <c r="A110" s="129" t="s">
        <v>319</v>
      </c>
      <c r="B110" s="129"/>
      <c r="C110" s="129"/>
      <c r="D110" s="129"/>
      <c r="E110" s="129"/>
      <c r="F110" s="185">
        <v>61</v>
      </c>
      <c r="G110" s="186">
        <v>72</v>
      </c>
      <c r="H110" s="186">
        <v>80</v>
      </c>
      <c r="I110" s="186">
        <v>85</v>
      </c>
      <c r="J110" s="186">
        <v>90</v>
      </c>
    </row>
    <row r="111" spans="1:10" s="187" customFormat="1" ht="12" customHeight="1" x14ac:dyDescent="0.2">
      <c r="A111" s="129" t="s">
        <v>320</v>
      </c>
      <c r="B111" s="129"/>
      <c r="C111" s="129"/>
      <c r="D111" s="129"/>
      <c r="E111" s="129"/>
      <c r="F111" s="186">
        <v>15</v>
      </c>
      <c r="G111" s="186">
        <v>10</v>
      </c>
      <c r="H111" s="186">
        <v>20</v>
      </c>
      <c r="I111" s="186">
        <v>25</v>
      </c>
      <c r="J111" s="186">
        <v>35</v>
      </c>
    </row>
    <row r="112" spans="1:10" s="187" customFormat="1" ht="12" customHeight="1" x14ac:dyDescent="0.2">
      <c r="A112" s="129" t="s">
        <v>321</v>
      </c>
      <c r="B112" s="129"/>
      <c r="C112" s="129"/>
      <c r="D112" s="129"/>
      <c r="E112" s="129"/>
      <c r="F112" s="185">
        <v>18</v>
      </c>
      <c r="G112" s="185">
        <v>10</v>
      </c>
      <c r="H112" s="185">
        <v>18</v>
      </c>
      <c r="I112" s="185">
        <v>20</v>
      </c>
      <c r="J112" s="185">
        <v>22</v>
      </c>
    </row>
    <row r="113" spans="1:10" s="187" customFormat="1" ht="12" customHeight="1" x14ac:dyDescent="0.2">
      <c r="A113" s="129" t="s">
        <v>322</v>
      </c>
      <c r="B113" s="129"/>
      <c r="C113" s="129"/>
      <c r="D113" s="129"/>
      <c r="E113" s="129"/>
      <c r="F113" s="185">
        <v>40</v>
      </c>
      <c r="G113" s="185">
        <v>36</v>
      </c>
      <c r="H113" s="185">
        <v>45</v>
      </c>
      <c r="I113" s="185">
        <v>55</v>
      </c>
      <c r="J113" s="185">
        <v>55</v>
      </c>
    </row>
    <row r="114" spans="1:10" s="187" customFormat="1" ht="12" customHeight="1" x14ac:dyDescent="0.2">
      <c r="A114" s="129" t="s">
        <v>323</v>
      </c>
      <c r="B114" s="129"/>
      <c r="C114" s="129"/>
      <c r="D114" s="129"/>
      <c r="E114" s="129"/>
      <c r="F114" s="185">
        <v>0</v>
      </c>
      <c r="G114" s="185">
        <v>0</v>
      </c>
      <c r="H114" s="185">
        <v>5</v>
      </c>
      <c r="I114" s="185">
        <v>10</v>
      </c>
      <c r="J114" s="185">
        <v>15</v>
      </c>
    </row>
    <row r="115" spans="1:10" x14ac:dyDescent="0.2">
      <c r="A115" s="188"/>
      <c r="B115" s="188"/>
      <c r="C115" s="188"/>
      <c r="D115" s="188"/>
      <c r="E115" s="188"/>
      <c r="F115" s="189"/>
      <c r="G115" s="189"/>
      <c r="H115" s="190"/>
      <c r="I115" s="190"/>
      <c r="J115" s="190"/>
    </row>
    <row r="116" spans="1:10" ht="21.75" customHeight="1" x14ac:dyDescent="0.2">
      <c r="A116" s="180" t="s">
        <v>324</v>
      </c>
      <c r="B116" s="180"/>
      <c r="C116" s="180"/>
      <c r="D116" s="180"/>
      <c r="E116" s="180"/>
      <c r="F116" s="180"/>
      <c r="G116" s="180"/>
      <c r="H116" s="180"/>
      <c r="I116" s="180"/>
      <c r="J116" s="180"/>
    </row>
    <row r="117" spans="1:10" s="187" customFormat="1" ht="12" x14ac:dyDescent="0.2">
      <c r="A117" s="129" t="s">
        <v>325</v>
      </c>
      <c r="B117" s="129"/>
      <c r="C117" s="129"/>
      <c r="D117" s="129"/>
      <c r="E117" s="129"/>
      <c r="F117" s="191" t="s">
        <v>326</v>
      </c>
      <c r="G117" s="191" t="s">
        <v>327</v>
      </c>
      <c r="H117" s="191" t="s">
        <v>328</v>
      </c>
      <c r="I117" s="191" t="s">
        <v>329</v>
      </c>
      <c r="J117" s="191" t="s">
        <v>329</v>
      </c>
    </row>
    <row r="118" spans="1:10" s="187" customFormat="1" ht="12" x14ac:dyDescent="0.2">
      <c r="A118" s="129" t="s">
        <v>330</v>
      </c>
      <c r="B118" s="129"/>
      <c r="C118" s="129"/>
      <c r="D118" s="129"/>
      <c r="E118" s="129"/>
      <c r="F118" s="191">
        <v>10</v>
      </c>
      <c r="G118" s="191">
        <v>15</v>
      </c>
      <c r="H118" s="191">
        <v>20</v>
      </c>
      <c r="I118" s="191">
        <v>18</v>
      </c>
      <c r="J118" s="191">
        <v>22</v>
      </c>
    </row>
    <row r="119" spans="1:10" s="187" customFormat="1" ht="12" x14ac:dyDescent="0.2">
      <c r="A119" s="129" t="s">
        <v>331</v>
      </c>
      <c r="B119" s="129"/>
      <c r="C119" s="129"/>
      <c r="D119" s="129"/>
      <c r="E119" s="129"/>
      <c r="F119" s="191">
        <v>8</v>
      </c>
      <c r="G119" s="191">
        <v>9</v>
      </c>
      <c r="H119" s="191">
        <v>7</v>
      </c>
      <c r="I119" s="191">
        <v>6</v>
      </c>
      <c r="J119" s="191">
        <v>8</v>
      </c>
    </row>
    <row r="120" spans="1:10" x14ac:dyDescent="0.2">
      <c r="A120" s="129"/>
      <c r="B120" s="129"/>
      <c r="C120" s="129"/>
      <c r="D120" s="129"/>
      <c r="E120" s="129"/>
      <c r="F120" s="129"/>
      <c r="G120" s="129"/>
      <c r="H120" s="129"/>
      <c r="I120" s="129"/>
      <c r="J120" s="129"/>
    </row>
    <row r="121" spans="1:10" x14ac:dyDescent="0.2">
      <c r="A121" s="150" t="s">
        <v>332</v>
      </c>
      <c r="B121" s="150"/>
      <c r="C121" s="150"/>
      <c r="D121" s="150"/>
      <c r="E121" s="150"/>
      <c r="F121" s="150"/>
      <c r="G121" s="150"/>
      <c r="H121" s="150"/>
      <c r="I121" s="150"/>
      <c r="J121" s="150"/>
    </row>
    <row r="122" spans="1:10" x14ac:dyDescent="0.2">
      <c r="A122" s="151" t="s">
        <v>291</v>
      </c>
      <c r="B122" s="151"/>
      <c r="C122" s="151"/>
      <c r="D122" s="101"/>
      <c r="E122" s="101"/>
      <c r="F122" s="101"/>
      <c r="G122" s="101"/>
      <c r="H122" s="101"/>
      <c r="I122" s="101"/>
      <c r="J122" s="101"/>
    </row>
    <row r="123" spans="1:10" ht="15" customHeight="1" x14ac:dyDescent="0.2">
      <c r="A123" s="129" t="s">
        <v>333</v>
      </c>
      <c r="B123" s="129"/>
      <c r="C123" s="129"/>
      <c r="D123" s="129"/>
      <c r="E123" s="129"/>
      <c r="F123" s="129"/>
      <c r="G123" s="129"/>
      <c r="H123" s="129"/>
      <c r="I123" s="129"/>
      <c r="J123" s="129"/>
    </row>
    <row r="124" spans="1:10" x14ac:dyDescent="0.2">
      <c r="A124" s="128" t="s">
        <v>293</v>
      </c>
      <c r="B124" s="128"/>
      <c r="C124" s="128"/>
      <c r="D124" s="128"/>
      <c r="E124" s="128"/>
      <c r="F124" s="128"/>
      <c r="G124" s="128"/>
      <c r="H124" s="128"/>
      <c r="I124" s="128"/>
      <c r="J124" s="128"/>
    </row>
    <row r="125" spans="1:10" ht="33.75" customHeight="1" x14ac:dyDescent="0.2">
      <c r="A125" s="152" t="s">
        <v>243</v>
      </c>
      <c r="B125" s="151" t="s">
        <v>242</v>
      </c>
      <c r="C125" s="151"/>
      <c r="D125" s="151"/>
      <c r="E125" s="192" t="str">
        <f t="shared" ref="E125:J125" si="23">E23</f>
        <v>Actuals           2014-2015</v>
      </c>
      <c r="F125" s="192" t="str">
        <f t="shared" si="23"/>
        <v>Approved Estimates          2015-2016</v>
      </c>
      <c r="G125" s="192" t="str">
        <f t="shared" si="23"/>
        <v>Revised Estimates                 2015-2016</v>
      </c>
      <c r="H125" s="192" t="str">
        <f t="shared" si="23"/>
        <v>Budget Estimates      2016-2017</v>
      </c>
      <c r="I125" s="192" t="str">
        <f t="shared" si="23"/>
        <v>Forward Estimates     2017-2018</v>
      </c>
      <c r="J125" s="192" t="str">
        <f t="shared" si="23"/>
        <v>Forward Estimates     2018-2019</v>
      </c>
    </row>
    <row r="126" spans="1:10" ht="12.75" customHeight="1" x14ac:dyDescent="0.2">
      <c r="A126" s="133">
        <v>122</v>
      </c>
      <c r="B126" s="134" t="s">
        <v>334</v>
      </c>
      <c r="C126" s="134"/>
      <c r="D126" s="134"/>
      <c r="E126" s="135">
        <v>4735</v>
      </c>
      <c r="F126" s="135">
        <v>64600</v>
      </c>
      <c r="G126" s="135">
        <v>68700</v>
      </c>
      <c r="H126" s="136">
        <v>64600</v>
      </c>
      <c r="I126" s="135">
        <v>64600</v>
      </c>
      <c r="J126" s="135">
        <v>64600</v>
      </c>
    </row>
    <row r="127" spans="1:10" ht="12.75" customHeight="1" x14ac:dyDescent="0.2">
      <c r="A127" s="133">
        <v>122</v>
      </c>
      <c r="B127" s="134" t="s">
        <v>335</v>
      </c>
      <c r="C127" s="134"/>
      <c r="D127" s="134"/>
      <c r="E127" s="135">
        <v>0</v>
      </c>
      <c r="F127" s="135">
        <v>3000</v>
      </c>
      <c r="G127" s="135">
        <v>2200</v>
      </c>
      <c r="H127" s="136">
        <v>3000</v>
      </c>
      <c r="I127" s="135">
        <v>3000</v>
      </c>
      <c r="J127" s="135">
        <v>3000</v>
      </c>
    </row>
    <row r="128" spans="1:10" ht="12.75" customHeight="1" x14ac:dyDescent="0.2">
      <c r="A128" s="133">
        <v>122</v>
      </c>
      <c r="B128" s="134" t="s">
        <v>336</v>
      </c>
      <c r="C128" s="134"/>
      <c r="D128" s="134"/>
      <c r="E128" s="135">
        <v>134400</v>
      </c>
      <c r="F128" s="135">
        <v>110000</v>
      </c>
      <c r="G128" s="135">
        <v>57900</v>
      </c>
      <c r="H128" s="136">
        <v>110000</v>
      </c>
      <c r="I128" s="135">
        <v>110000</v>
      </c>
      <c r="J128" s="135">
        <v>110000</v>
      </c>
    </row>
    <row r="129" spans="1:10" ht="12.75" customHeight="1" x14ac:dyDescent="0.2">
      <c r="A129" s="133">
        <v>130</v>
      </c>
      <c r="B129" s="134" t="s">
        <v>337</v>
      </c>
      <c r="C129" s="134"/>
      <c r="D129" s="134"/>
      <c r="E129" s="135">
        <v>134940</v>
      </c>
      <c r="F129" s="135">
        <v>100000</v>
      </c>
      <c r="G129" s="135">
        <v>14300</v>
      </c>
      <c r="H129" s="136">
        <v>100000</v>
      </c>
      <c r="I129" s="135">
        <v>100000</v>
      </c>
      <c r="J129" s="135">
        <v>100000</v>
      </c>
    </row>
    <row r="130" spans="1:10" ht="12.75" customHeight="1" x14ac:dyDescent="0.2">
      <c r="A130" s="133">
        <v>130</v>
      </c>
      <c r="B130" s="134" t="s">
        <v>338</v>
      </c>
      <c r="C130" s="134"/>
      <c r="D130" s="134"/>
      <c r="E130" s="135">
        <v>0</v>
      </c>
      <c r="F130" s="135">
        <v>0</v>
      </c>
      <c r="G130" s="135">
        <v>0</v>
      </c>
      <c r="H130" s="136">
        <v>0</v>
      </c>
      <c r="I130" s="135">
        <v>0</v>
      </c>
      <c r="J130" s="135">
        <v>0</v>
      </c>
    </row>
    <row r="131" spans="1:10" ht="12.75" customHeight="1" x14ac:dyDescent="0.2">
      <c r="A131" s="133">
        <v>130</v>
      </c>
      <c r="B131" s="134" t="s">
        <v>339</v>
      </c>
      <c r="C131" s="134"/>
      <c r="D131" s="134"/>
      <c r="E131" s="135">
        <v>0</v>
      </c>
      <c r="F131" s="135">
        <v>5000</v>
      </c>
      <c r="G131" s="135">
        <v>5000</v>
      </c>
      <c r="H131" s="136">
        <v>5000</v>
      </c>
      <c r="I131" s="135">
        <v>5000</v>
      </c>
      <c r="J131" s="135">
        <v>5000</v>
      </c>
    </row>
    <row r="132" spans="1:10" x14ac:dyDescent="0.2">
      <c r="A132" s="137" t="s">
        <v>280</v>
      </c>
      <c r="B132" s="137"/>
      <c r="C132" s="137"/>
      <c r="D132" s="137"/>
      <c r="E132" s="138">
        <f t="shared" ref="E132:J132" si="24">SUM(E126:E131)</f>
        <v>274075</v>
      </c>
      <c r="F132" s="138">
        <f t="shared" si="24"/>
        <v>282600</v>
      </c>
      <c r="G132" s="138">
        <f t="shared" si="24"/>
        <v>148100</v>
      </c>
      <c r="H132" s="138">
        <f t="shared" si="24"/>
        <v>282600</v>
      </c>
      <c r="I132" s="138">
        <f t="shared" si="24"/>
        <v>282600</v>
      </c>
      <c r="J132" s="138">
        <f t="shared" si="24"/>
        <v>282600</v>
      </c>
    </row>
    <row r="133" spans="1:10" x14ac:dyDescent="0.2">
      <c r="A133" s="193"/>
      <c r="B133" s="194"/>
      <c r="C133" s="194"/>
      <c r="D133" s="194"/>
      <c r="E133" s="194"/>
      <c r="F133" s="194"/>
      <c r="G133" s="194"/>
      <c r="H133" s="194"/>
      <c r="I133" s="194"/>
      <c r="J133" s="195"/>
    </row>
    <row r="134" spans="1:10" ht="15" customHeight="1" x14ac:dyDescent="0.2">
      <c r="A134" s="128" t="s">
        <v>284</v>
      </c>
      <c r="B134" s="128"/>
      <c r="C134" s="128"/>
      <c r="D134" s="128"/>
      <c r="E134" s="128"/>
      <c r="F134" s="128"/>
      <c r="G134" s="128"/>
      <c r="H134" s="128"/>
      <c r="I134" s="128"/>
      <c r="J134" s="128"/>
    </row>
    <row r="135" spans="1:10" ht="33.75" x14ac:dyDescent="0.2">
      <c r="A135" s="152" t="s">
        <v>243</v>
      </c>
      <c r="B135" s="151" t="s">
        <v>242</v>
      </c>
      <c r="C135" s="151"/>
      <c r="D135" s="151"/>
      <c r="E135" s="132" t="str">
        <f t="shared" ref="E135:J135" si="25">E23</f>
        <v>Actuals           2014-2015</v>
      </c>
      <c r="F135" s="132" t="str">
        <f t="shared" si="25"/>
        <v>Approved Estimates          2015-2016</v>
      </c>
      <c r="G135" s="132" t="str">
        <f t="shared" si="25"/>
        <v>Revised Estimates                 2015-2016</v>
      </c>
      <c r="H135" s="132" t="str">
        <f t="shared" si="25"/>
        <v>Budget Estimates      2016-2017</v>
      </c>
      <c r="I135" s="132" t="str">
        <f t="shared" si="25"/>
        <v>Forward Estimates     2017-2018</v>
      </c>
      <c r="J135" s="132" t="str">
        <f t="shared" si="25"/>
        <v>Forward Estimates     2018-2019</v>
      </c>
    </row>
    <row r="136" spans="1:10" ht="15" customHeight="1" x14ac:dyDescent="0.2">
      <c r="A136" s="151" t="s">
        <v>7</v>
      </c>
      <c r="B136" s="151"/>
      <c r="C136" s="151"/>
      <c r="D136" s="151"/>
      <c r="E136" s="151"/>
      <c r="F136" s="151"/>
      <c r="G136" s="151"/>
      <c r="H136" s="151"/>
      <c r="I136" s="151"/>
      <c r="J136" s="190"/>
    </row>
    <row r="137" spans="1:10" ht="12.75" customHeight="1" x14ac:dyDescent="0.2">
      <c r="A137" s="133">
        <v>210</v>
      </c>
      <c r="B137" s="134" t="s">
        <v>7</v>
      </c>
      <c r="C137" s="134"/>
      <c r="D137" s="134"/>
      <c r="E137" s="135">
        <v>2742329.04</v>
      </c>
      <c r="F137" s="135">
        <v>2987700</v>
      </c>
      <c r="G137" s="135">
        <v>2885800</v>
      </c>
      <c r="H137" s="136">
        <v>3100500</v>
      </c>
      <c r="I137" s="135">
        <v>3181600</v>
      </c>
      <c r="J137" s="135">
        <v>3262700</v>
      </c>
    </row>
    <row r="138" spans="1:10" ht="12.75" customHeight="1" x14ac:dyDescent="0.2">
      <c r="A138" s="133">
        <v>212</v>
      </c>
      <c r="B138" s="134" t="s">
        <v>9</v>
      </c>
      <c r="C138" s="134"/>
      <c r="D138" s="134"/>
      <c r="E138" s="135">
        <v>0</v>
      </c>
      <c r="F138" s="135">
        <v>0</v>
      </c>
      <c r="G138" s="135">
        <v>0</v>
      </c>
      <c r="H138" s="136">
        <v>0</v>
      </c>
      <c r="I138" s="135">
        <v>0</v>
      </c>
      <c r="J138" s="135">
        <v>0</v>
      </c>
    </row>
    <row r="139" spans="1:10" ht="12.75" customHeight="1" x14ac:dyDescent="0.2">
      <c r="A139" s="133">
        <v>216</v>
      </c>
      <c r="B139" s="134" t="s">
        <v>10</v>
      </c>
      <c r="C139" s="134"/>
      <c r="D139" s="134"/>
      <c r="E139" s="135">
        <v>492388.68</v>
      </c>
      <c r="F139" s="135">
        <v>512100</v>
      </c>
      <c r="G139" s="135">
        <v>516500</v>
      </c>
      <c r="H139" s="136">
        <v>517800</v>
      </c>
      <c r="I139" s="135">
        <v>517800</v>
      </c>
      <c r="J139" s="135">
        <v>517800</v>
      </c>
    </row>
    <row r="140" spans="1:10" ht="12.75" customHeight="1" x14ac:dyDescent="0.2">
      <c r="A140" s="133">
        <v>218</v>
      </c>
      <c r="B140" s="134" t="s">
        <v>294</v>
      </c>
      <c r="C140" s="134"/>
      <c r="D140" s="134"/>
      <c r="E140" s="135">
        <v>0</v>
      </c>
      <c r="F140" s="135">
        <v>0</v>
      </c>
      <c r="G140" s="135">
        <v>0</v>
      </c>
      <c r="H140" s="136">
        <v>0</v>
      </c>
      <c r="I140" s="135">
        <v>0</v>
      </c>
      <c r="J140" s="135">
        <v>0</v>
      </c>
    </row>
    <row r="141" spans="1:10" ht="15" customHeight="1" x14ac:dyDescent="0.2">
      <c r="A141" s="196" t="s">
        <v>295</v>
      </c>
      <c r="B141" s="196"/>
      <c r="C141" s="196"/>
      <c r="D141" s="196"/>
      <c r="E141" s="197">
        <f t="shared" ref="E141:J141" si="26">SUM(E137:E140)</f>
        <v>3234717.72</v>
      </c>
      <c r="F141" s="197">
        <f t="shared" si="26"/>
        <v>3499800</v>
      </c>
      <c r="G141" s="197">
        <f t="shared" si="26"/>
        <v>3402300</v>
      </c>
      <c r="H141" s="197">
        <f t="shared" si="26"/>
        <v>3618300</v>
      </c>
      <c r="I141" s="197">
        <f t="shared" si="26"/>
        <v>3699400</v>
      </c>
      <c r="J141" s="197">
        <f t="shared" si="26"/>
        <v>3780500</v>
      </c>
    </row>
    <row r="142" spans="1:10" ht="15" customHeight="1" x14ac:dyDescent="0.2">
      <c r="A142" s="193" t="s">
        <v>296</v>
      </c>
      <c r="B142" s="194"/>
      <c r="C142" s="194"/>
      <c r="D142" s="194"/>
      <c r="E142" s="194"/>
      <c r="F142" s="194"/>
      <c r="G142" s="194"/>
      <c r="H142" s="194"/>
      <c r="I142" s="194"/>
      <c r="J142" s="195"/>
    </row>
    <row r="143" spans="1:10" ht="15" customHeight="1" x14ac:dyDescent="0.2">
      <c r="A143" s="198">
        <v>222</v>
      </c>
      <c r="B143" s="199" t="s">
        <v>205</v>
      </c>
      <c r="C143" s="199"/>
      <c r="D143" s="199"/>
      <c r="E143" s="200">
        <v>59568.740000000005</v>
      </c>
      <c r="F143" s="200">
        <v>60000</v>
      </c>
      <c r="G143" s="200">
        <v>43600</v>
      </c>
      <c r="H143" s="201">
        <v>55000</v>
      </c>
      <c r="I143" s="135">
        <v>55000</v>
      </c>
      <c r="J143" s="135">
        <v>55000</v>
      </c>
    </row>
    <row r="144" spans="1:10" ht="15" customHeight="1" x14ac:dyDescent="0.2">
      <c r="A144" s="133">
        <v>224</v>
      </c>
      <c r="B144" s="134" t="s">
        <v>206</v>
      </c>
      <c r="C144" s="134"/>
      <c r="D144" s="134"/>
      <c r="E144" s="135">
        <v>197538.29</v>
      </c>
      <c r="F144" s="135">
        <v>233000</v>
      </c>
      <c r="G144" s="135">
        <v>233000</v>
      </c>
      <c r="H144" s="136">
        <v>200000</v>
      </c>
      <c r="I144" s="135">
        <v>200000</v>
      </c>
      <c r="J144" s="135">
        <v>200000</v>
      </c>
    </row>
    <row r="145" spans="1:10" ht="15" customHeight="1" x14ac:dyDescent="0.2">
      <c r="A145" s="133">
        <v>226</v>
      </c>
      <c r="B145" s="134" t="s">
        <v>207</v>
      </c>
      <c r="C145" s="134"/>
      <c r="D145" s="134"/>
      <c r="E145" s="135">
        <v>71318.319999999992</v>
      </c>
      <c r="F145" s="135">
        <v>80000</v>
      </c>
      <c r="G145" s="135">
        <v>81200</v>
      </c>
      <c r="H145" s="136">
        <v>75000</v>
      </c>
      <c r="I145" s="135">
        <v>75000</v>
      </c>
      <c r="J145" s="135">
        <v>75000</v>
      </c>
    </row>
    <row r="146" spans="1:10" ht="15" customHeight="1" x14ac:dyDescent="0.2">
      <c r="A146" s="133">
        <v>228</v>
      </c>
      <c r="B146" s="134" t="s">
        <v>208</v>
      </c>
      <c r="C146" s="134"/>
      <c r="D146" s="134"/>
      <c r="E146" s="135">
        <v>24906.33</v>
      </c>
      <c r="F146" s="135">
        <v>25000</v>
      </c>
      <c r="G146" s="135">
        <v>25000</v>
      </c>
      <c r="H146" s="136">
        <v>25000</v>
      </c>
      <c r="I146" s="135">
        <v>25000</v>
      </c>
      <c r="J146" s="135">
        <v>25000</v>
      </c>
    </row>
    <row r="147" spans="1:10" ht="15" customHeight="1" x14ac:dyDescent="0.2">
      <c r="A147" s="133">
        <v>229</v>
      </c>
      <c r="B147" s="134" t="s">
        <v>209</v>
      </c>
      <c r="C147" s="134"/>
      <c r="D147" s="134"/>
      <c r="E147" s="135">
        <v>19636.82</v>
      </c>
      <c r="F147" s="135">
        <v>20000</v>
      </c>
      <c r="G147" s="135">
        <v>20000</v>
      </c>
      <c r="H147" s="136">
        <v>80000</v>
      </c>
      <c r="I147" s="135">
        <f>35000+10000</f>
        <v>45000</v>
      </c>
      <c r="J147" s="135">
        <f>35000+10000</f>
        <v>45000</v>
      </c>
    </row>
    <row r="148" spans="1:10" ht="15" customHeight="1" x14ac:dyDescent="0.2">
      <c r="A148" s="133">
        <v>230</v>
      </c>
      <c r="B148" s="134" t="s">
        <v>210</v>
      </c>
      <c r="C148" s="134"/>
      <c r="D148" s="134"/>
      <c r="E148" s="135">
        <v>74927.859999999986</v>
      </c>
      <c r="F148" s="135">
        <v>75000</v>
      </c>
      <c r="G148" s="135">
        <v>76600</v>
      </c>
      <c r="H148" s="136">
        <f>75000+5000</f>
        <v>80000</v>
      </c>
      <c r="I148" s="135">
        <f t="shared" ref="I148:J148" si="27">75000+5000</f>
        <v>80000</v>
      </c>
      <c r="J148" s="135">
        <f t="shared" si="27"/>
        <v>80000</v>
      </c>
    </row>
    <row r="149" spans="1:10" ht="15" customHeight="1" x14ac:dyDescent="0.2">
      <c r="A149" s="133">
        <v>232</v>
      </c>
      <c r="B149" s="134" t="s">
        <v>211</v>
      </c>
      <c r="C149" s="134"/>
      <c r="D149" s="134"/>
      <c r="E149" s="135">
        <v>225297.89</v>
      </c>
      <c r="F149" s="135">
        <v>235000</v>
      </c>
      <c r="G149" s="135">
        <v>239000</v>
      </c>
      <c r="H149" s="136">
        <v>235000</v>
      </c>
      <c r="I149" s="135">
        <v>235000</v>
      </c>
      <c r="J149" s="135">
        <v>235000</v>
      </c>
    </row>
    <row r="150" spans="1:10" ht="13.9" customHeight="1" x14ac:dyDescent="0.2">
      <c r="A150" s="133">
        <v>236</v>
      </c>
      <c r="B150" s="134" t="s">
        <v>213</v>
      </c>
      <c r="C150" s="134"/>
      <c r="D150" s="134"/>
      <c r="E150" s="135">
        <v>15725.95</v>
      </c>
      <c r="F150" s="135">
        <v>11000</v>
      </c>
      <c r="G150" s="135">
        <v>11000</v>
      </c>
      <c r="H150" s="136">
        <v>11000</v>
      </c>
      <c r="I150" s="135">
        <v>11000</v>
      </c>
      <c r="J150" s="135">
        <v>11000</v>
      </c>
    </row>
    <row r="151" spans="1:10" ht="15" customHeight="1" x14ac:dyDescent="0.2">
      <c r="A151" s="133">
        <v>238</v>
      </c>
      <c r="B151" s="134" t="s">
        <v>214</v>
      </c>
      <c r="C151" s="134"/>
      <c r="D151" s="134"/>
      <c r="E151" s="135">
        <v>9999.49</v>
      </c>
      <c r="F151" s="135">
        <v>10000</v>
      </c>
      <c r="G151" s="135">
        <v>10400</v>
      </c>
      <c r="H151" s="136">
        <v>10000</v>
      </c>
      <c r="I151" s="135">
        <v>10000</v>
      </c>
      <c r="J151" s="135">
        <v>10000</v>
      </c>
    </row>
    <row r="152" spans="1:10" ht="15" customHeight="1" x14ac:dyDescent="0.2">
      <c r="A152" s="133">
        <v>242</v>
      </c>
      <c r="B152" s="134" t="s">
        <v>216</v>
      </c>
      <c r="C152" s="134"/>
      <c r="D152" s="134"/>
      <c r="E152" s="135">
        <v>56455.59</v>
      </c>
      <c r="F152" s="135">
        <v>80000</v>
      </c>
      <c r="G152" s="135">
        <v>86100</v>
      </c>
      <c r="H152" s="136">
        <v>80000</v>
      </c>
      <c r="I152" s="135">
        <v>80000</v>
      </c>
      <c r="J152" s="135">
        <v>80000</v>
      </c>
    </row>
    <row r="153" spans="1:10" ht="15" customHeight="1" x14ac:dyDescent="0.2">
      <c r="A153" s="133">
        <v>246</v>
      </c>
      <c r="B153" s="134" t="s">
        <v>218</v>
      </c>
      <c r="C153" s="134"/>
      <c r="D153" s="134"/>
      <c r="E153" s="135">
        <v>8137.2</v>
      </c>
      <c r="F153" s="135">
        <v>10000</v>
      </c>
      <c r="G153" s="135">
        <v>15000</v>
      </c>
      <c r="H153" s="136">
        <v>10000</v>
      </c>
      <c r="I153" s="135">
        <v>10000</v>
      </c>
      <c r="J153" s="135">
        <v>10000</v>
      </c>
    </row>
    <row r="154" spans="1:10" ht="15" customHeight="1" x14ac:dyDescent="0.2">
      <c r="A154" s="133">
        <v>260</v>
      </c>
      <c r="B154" s="134" t="s">
        <v>220</v>
      </c>
      <c r="C154" s="134"/>
      <c r="D154" s="134"/>
      <c r="E154" s="135">
        <v>175307.78999999998</v>
      </c>
      <c r="F154" s="135">
        <v>180000</v>
      </c>
      <c r="G154" s="135">
        <v>180000</v>
      </c>
      <c r="H154" s="136">
        <f>175000+1900</f>
        <v>176900</v>
      </c>
      <c r="I154" s="135">
        <f t="shared" ref="I154:J154" si="28">175000+1900</f>
        <v>176900</v>
      </c>
      <c r="J154" s="135">
        <f t="shared" si="28"/>
        <v>176900</v>
      </c>
    </row>
    <row r="155" spans="1:10" ht="15" customHeight="1" x14ac:dyDescent="0.2">
      <c r="A155" s="133">
        <v>284</v>
      </c>
      <c r="B155" s="134" t="s">
        <v>340</v>
      </c>
      <c r="C155" s="134"/>
      <c r="D155" s="134"/>
      <c r="E155" s="135">
        <v>25050.97</v>
      </c>
      <c r="F155" s="135">
        <v>59000</v>
      </c>
      <c r="G155" s="135">
        <v>59000</v>
      </c>
      <c r="H155" s="136">
        <v>59000</v>
      </c>
      <c r="I155" s="135">
        <v>59000</v>
      </c>
      <c r="J155" s="135">
        <v>59000</v>
      </c>
    </row>
    <row r="156" spans="1:10" x14ac:dyDescent="0.2">
      <c r="A156" s="156" t="s">
        <v>298</v>
      </c>
      <c r="B156" s="156"/>
      <c r="C156" s="156"/>
      <c r="D156" s="156"/>
      <c r="E156" s="157">
        <f t="shared" ref="E156:J156" si="29">SUM(E143:E155)</f>
        <v>963871.23999999976</v>
      </c>
      <c r="F156" s="157">
        <f t="shared" si="29"/>
        <v>1078000</v>
      </c>
      <c r="G156" s="157">
        <f t="shared" si="29"/>
        <v>1079900</v>
      </c>
      <c r="H156" s="157">
        <f t="shared" si="29"/>
        <v>1096900</v>
      </c>
      <c r="I156" s="157">
        <f t="shared" si="29"/>
        <v>1061900</v>
      </c>
      <c r="J156" s="157">
        <f t="shared" si="29"/>
        <v>1061900</v>
      </c>
    </row>
    <row r="157" spans="1:10" x14ac:dyDescent="0.2">
      <c r="A157" s="159" t="s">
        <v>299</v>
      </c>
      <c r="B157" s="159"/>
      <c r="C157" s="159"/>
      <c r="D157" s="159"/>
      <c r="E157" s="160">
        <f t="shared" ref="E157:J157" si="30">SUM(E141,E156)</f>
        <v>4198588.96</v>
      </c>
      <c r="F157" s="160">
        <f t="shared" si="30"/>
        <v>4577800</v>
      </c>
      <c r="G157" s="160">
        <f t="shared" si="30"/>
        <v>4482200</v>
      </c>
      <c r="H157" s="160">
        <f t="shared" si="30"/>
        <v>4715200</v>
      </c>
      <c r="I157" s="160">
        <f t="shared" si="30"/>
        <v>4761300</v>
      </c>
      <c r="J157" s="160">
        <f t="shared" si="30"/>
        <v>4842400</v>
      </c>
    </row>
    <row r="158" spans="1:10" x14ac:dyDescent="0.2">
      <c r="A158" s="129"/>
      <c r="B158" s="129"/>
      <c r="C158" s="129"/>
      <c r="D158" s="129"/>
      <c r="E158" s="129"/>
      <c r="F158" s="129"/>
      <c r="G158" s="129"/>
      <c r="H158" s="129"/>
      <c r="I158" s="129"/>
      <c r="J158" s="190"/>
    </row>
    <row r="159" spans="1:10" x14ac:dyDescent="0.2">
      <c r="A159" s="162" t="s">
        <v>15</v>
      </c>
      <c r="B159" s="162"/>
      <c r="C159" s="162"/>
      <c r="D159" s="162"/>
      <c r="E159" s="162"/>
      <c r="F159" s="162"/>
      <c r="G159" s="162"/>
      <c r="H159" s="162"/>
      <c r="I159" s="162"/>
      <c r="J159" s="162"/>
    </row>
    <row r="160" spans="1:10" ht="18" customHeight="1" x14ac:dyDescent="0.2">
      <c r="A160" s="131" t="s">
        <v>242</v>
      </c>
      <c r="B160" s="131"/>
      <c r="C160" s="131"/>
      <c r="D160" s="131"/>
      <c r="E160" s="128" t="str">
        <f t="shared" ref="E160:J160" si="31">E23</f>
        <v>Actuals           2014-2015</v>
      </c>
      <c r="F160" s="128" t="str">
        <f t="shared" si="31"/>
        <v>Approved Estimates          2015-2016</v>
      </c>
      <c r="G160" s="128" t="str">
        <f t="shared" si="31"/>
        <v>Revised Estimates                 2015-2016</v>
      </c>
      <c r="H160" s="128" t="str">
        <f t="shared" si="31"/>
        <v>Budget Estimates      2016-2017</v>
      </c>
      <c r="I160" s="128" t="str">
        <f t="shared" si="31"/>
        <v>Forward Estimates     2017-2018</v>
      </c>
      <c r="J160" s="128" t="str">
        <f t="shared" si="31"/>
        <v>Forward Estimates     2018-2019</v>
      </c>
    </row>
    <row r="161" spans="1:10" x14ac:dyDescent="0.2">
      <c r="A161" s="130" t="s">
        <v>243</v>
      </c>
      <c r="B161" s="130" t="s">
        <v>244</v>
      </c>
      <c r="C161" s="131" t="s">
        <v>245</v>
      </c>
      <c r="D161" s="131"/>
      <c r="E161" s="101"/>
      <c r="F161" s="101"/>
      <c r="G161" s="101"/>
      <c r="H161" s="101"/>
      <c r="I161" s="101"/>
      <c r="J161" s="101"/>
    </row>
    <row r="162" spans="1:10" x14ac:dyDescent="0.2">
      <c r="A162" s="163"/>
      <c r="B162" s="163"/>
      <c r="C162" s="156"/>
      <c r="D162" s="156"/>
      <c r="E162" s="158"/>
      <c r="F162" s="158"/>
      <c r="G162" s="158"/>
      <c r="H162" s="136"/>
      <c r="I162" s="158"/>
      <c r="J162" s="135"/>
    </row>
    <row r="163" spans="1:10" x14ac:dyDescent="0.2">
      <c r="A163" s="163"/>
      <c r="B163" s="163"/>
      <c r="C163" s="156"/>
      <c r="D163" s="156"/>
      <c r="E163" s="158"/>
      <c r="F163" s="158"/>
      <c r="G163" s="158"/>
      <c r="H163" s="136"/>
      <c r="I163" s="158"/>
      <c r="J163" s="135"/>
    </row>
    <row r="164" spans="1:10" x14ac:dyDescent="0.2">
      <c r="A164" s="137" t="s">
        <v>15</v>
      </c>
      <c r="B164" s="137"/>
      <c r="C164" s="137"/>
      <c r="D164" s="137"/>
      <c r="E164" s="138">
        <v>0</v>
      </c>
      <c r="F164" s="138">
        <v>0</v>
      </c>
      <c r="G164" s="138">
        <v>0</v>
      </c>
      <c r="H164" s="138">
        <v>0</v>
      </c>
      <c r="I164" s="138">
        <v>0</v>
      </c>
      <c r="J164" s="138">
        <v>0</v>
      </c>
    </row>
    <row r="165" spans="1:10" x14ac:dyDescent="0.2">
      <c r="A165" s="134"/>
      <c r="B165" s="134"/>
      <c r="C165" s="134"/>
      <c r="D165" s="134"/>
      <c r="E165" s="134"/>
      <c r="F165" s="134"/>
      <c r="G165" s="134"/>
      <c r="H165" s="134"/>
      <c r="I165" s="134"/>
      <c r="J165" s="190"/>
    </row>
    <row r="166" spans="1:10" ht="15" customHeight="1" x14ac:dyDescent="0.2">
      <c r="A166" s="161" t="s">
        <v>288</v>
      </c>
      <c r="B166" s="161"/>
      <c r="C166" s="161"/>
      <c r="D166" s="161"/>
      <c r="E166" s="161"/>
      <c r="F166" s="202"/>
      <c r="G166" s="202"/>
      <c r="H166" s="202"/>
      <c r="I166" s="202"/>
      <c r="J166" s="202"/>
    </row>
    <row r="167" spans="1:10" x14ac:dyDescent="0.2">
      <c r="A167" s="131" t="s">
        <v>300</v>
      </c>
      <c r="B167" s="131"/>
      <c r="C167" s="131"/>
      <c r="D167" s="132" t="s">
        <v>301</v>
      </c>
      <c r="E167" s="132" t="s">
        <v>302</v>
      </c>
      <c r="F167" s="131" t="s">
        <v>300</v>
      </c>
      <c r="G167" s="131"/>
      <c r="H167" s="131"/>
      <c r="I167" s="132" t="s">
        <v>301</v>
      </c>
      <c r="J167" s="132" t="s">
        <v>302</v>
      </c>
    </row>
    <row r="168" spans="1:10" ht="15" customHeight="1" x14ac:dyDescent="0.2">
      <c r="A168" s="134" t="str">
        <f>Establishment!D9</f>
        <v>Commissioner</v>
      </c>
      <c r="B168" s="134"/>
      <c r="C168" s="134"/>
      <c r="D168" s="133" t="str">
        <f>Establishment!E9</f>
        <v>R5</v>
      </c>
      <c r="E168" s="133">
        <f>Establishment!C9</f>
        <v>1</v>
      </c>
      <c r="F168" s="134" t="str">
        <f>Establishment!D15</f>
        <v>Assistant Secretary</v>
      </c>
      <c r="G168" s="134"/>
      <c r="H168" s="134"/>
      <c r="I168" s="133" t="str">
        <f>Establishment!E15</f>
        <v>R22-16</v>
      </c>
      <c r="J168" s="133">
        <f>Establishment!C15</f>
        <v>1</v>
      </c>
    </row>
    <row r="169" spans="1:10" ht="15" customHeight="1" x14ac:dyDescent="0.2">
      <c r="A169" s="134" t="str">
        <f>Establishment!D10</f>
        <v>Deputy Commissioner</v>
      </c>
      <c r="B169" s="134"/>
      <c r="C169" s="134"/>
      <c r="D169" s="133" t="str">
        <f>Establishment!E10</f>
        <v>R11</v>
      </c>
      <c r="E169" s="133">
        <f>Establishment!C10</f>
        <v>1</v>
      </c>
      <c r="F169" s="134" t="str">
        <f>Establishment!D16</f>
        <v>Executive Officer</v>
      </c>
      <c r="G169" s="134"/>
      <c r="H169" s="134"/>
      <c r="I169" s="133" t="str">
        <f>Establishment!E16</f>
        <v>R28-22</v>
      </c>
      <c r="J169" s="133">
        <f>Establishment!C16</f>
        <v>1</v>
      </c>
    </row>
    <row r="170" spans="1:10" ht="15" customHeight="1" x14ac:dyDescent="0.2">
      <c r="A170" s="134" t="str">
        <f>Establishment!D11</f>
        <v>Superintendent</v>
      </c>
      <c r="B170" s="134"/>
      <c r="C170" s="134"/>
      <c r="D170" s="133" t="str">
        <f>Establishment!E11</f>
        <v>R17-13</v>
      </c>
      <c r="E170" s="133">
        <f>Establishment!C11</f>
        <v>1</v>
      </c>
      <c r="F170" s="134" t="str">
        <f>Establishment!D17</f>
        <v>Clerical Officer (Snr)</v>
      </c>
      <c r="G170" s="134"/>
      <c r="H170" s="134"/>
      <c r="I170" s="133" t="str">
        <f>Establishment!E17</f>
        <v>R33-29</v>
      </c>
      <c r="J170" s="133">
        <f>Establishment!C17</f>
        <v>1</v>
      </c>
    </row>
    <row r="171" spans="1:10" ht="15" customHeight="1" x14ac:dyDescent="0.2">
      <c r="A171" s="134" t="str">
        <f>Establishment!D12</f>
        <v>Inspector</v>
      </c>
      <c r="B171" s="134"/>
      <c r="C171" s="134"/>
      <c r="D171" s="133" t="str">
        <f>Establishment!E12</f>
        <v>R22-18</v>
      </c>
      <c r="E171" s="133">
        <f>Establishment!C12</f>
        <v>4</v>
      </c>
      <c r="F171" s="134" t="str">
        <f>Establishment!D18</f>
        <v>Clerical Officer</v>
      </c>
      <c r="G171" s="134"/>
      <c r="H171" s="134"/>
      <c r="I171" s="133" t="str">
        <f>Establishment!E18</f>
        <v>R46-34</v>
      </c>
      <c r="J171" s="133">
        <f>Establishment!C18</f>
        <v>1</v>
      </c>
    </row>
    <row r="172" spans="1:10" ht="15" customHeight="1" x14ac:dyDescent="0.2">
      <c r="A172" s="134" t="str">
        <f>Establishment!D13</f>
        <v>Sergeant</v>
      </c>
      <c r="B172" s="134"/>
      <c r="C172" s="134"/>
      <c r="D172" s="133" t="str">
        <f>Establishment!E13</f>
        <v>R27-23</v>
      </c>
      <c r="E172" s="133">
        <f>Establishment!C13</f>
        <v>11</v>
      </c>
      <c r="F172" s="134"/>
      <c r="G172" s="134"/>
      <c r="H172" s="134"/>
      <c r="I172" s="133"/>
      <c r="J172" s="133"/>
    </row>
    <row r="173" spans="1:10" x14ac:dyDescent="0.2">
      <c r="A173" s="134" t="str">
        <f>Establishment!D14</f>
        <v>Constable</v>
      </c>
      <c r="B173" s="134"/>
      <c r="C173" s="134"/>
      <c r="D173" s="133" t="str">
        <f>Establishment!E14</f>
        <v>R39-28</v>
      </c>
      <c r="E173" s="133">
        <f>Establishment!C14</f>
        <v>55</v>
      </c>
      <c r="F173" s="134"/>
      <c r="G173" s="134"/>
      <c r="H173" s="134"/>
      <c r="I173" s="133"/>
      <c r="J173" s="133"/>
    </row>
    <row r="174" spans="1:10" ht="15" customHeight="1" x14ac:dyDescent="0.2">
      <c r="A174" s="203" t="s">
        <v>303</v>
      </c>
      <c r="B174" s="203"/>
      <c r="C174" s="203"/>
      <c r="D174" s="203"/>
      <c r="E174" s="203"/>
      <c r="F174" s="203"/>
      <c r="G174" s="203"/>
      <c r="H174" s="203"/>
      <c r="I174" s="203"/>
      <c r="J174" s="204">
        <f>SUM(E168:E173,J168:J173)</f>
        <v>77</v>
      </c>
    </row>
    <row r="175" spans="1:10" ht="15" customHeight="1" x14ac:dyDescent="0.2">
      <c r="A175" s="134"/>
      <c r="B175" s="134"/>
      <c r="C175" s="134"/>
      <c r="D175" s="133"/>
      <c r="E175" s="133"/>
      <c r="F175" s="134"/>
      <c r="G175" s="134"/>
      <c r="H175" s="134"/>
      <c r="I175" s="133"/>
      <c r="J175" s="133"/>
    </row>
    <row r="176" spans="1:10" x14ac:dyDescent="0.2">
      <c r="A176" s="180" t="s">
        <v>304</v>
      </c>
      <c r="B176" s="180"/>
      <c r="C176" s="180"/>
      <c r="D176" s="180"/>
      <c r="E176" s="180"/>
      <c r="F176" s="180"/>
      <c r="G176" s="180"/>
      <c r="H176" s="180"/>
      <c r="I176" s="180"/>
      <c r="J176" s="180"/>
    </row>
    <row r="177" spans="1:10" ht="11.25" customHeight="1" x14ac:dyDescent="0.2">
      <c r="A177" s="183" t="s">
        <v>341</v>
      </c>
      <c r="B177" s="183"/>
      <c r="C177" s="183"/>
      <c r="D177" s="183"/>
      <c r="E177" s="183"/>
      <c r="F177" s="183"/>
      <c r="G177" s="183"/>
      <c r="H177" s="183"/>
      <c r="I177" s="183"/>
      <c r="J177" s="183"/>
    </row>
    <row r="178" spans="1:10" x14ac:dyDescent="0.2">
      <c r="A178" s="129" t="s">
        <v>342</v>
      </c>
      <c r="B178" s="129"/>
      <c r="C178" s="129"/>
      <c r="D178" s="129"/>
      <c r="E178" s="129"/>
      <c r="F178" s="129"/>
      <c r="G178" s="129"/>
      <c r="H178" s="129"/>
      <c r="I178" s="129"/>
      <c r="J178" s="129"/>
    </row>
    <row r="179" spans="1:10" x14ac:dyDescent="0.2">
      <c r="A179" s="129" t="s">
        <v>343</v>
      </c>
      <c r="B179" s="129"/>
      <c r="C179" s="129"/>
      <c r="D179" s="129"/>
      <c r="E179" s="129"/>
      <c r="F179" s="129"/>
      <c r="G179" s="129"/>
      <c r="H179" s="129"/>
      <c r="I179" s="129"/>
      <c r="J179" s="129"/>
    </row>
    <row r="180" spans="1:10" x14ac:dyDescent="0.2">
      <c r="A180" s="129" t="s">
        <v>344</v>
      </c>
      <c r="B180" s="129"/>
      <c r="C180" s="129"/>
      <c r="D180" s="129"/>
      <c r="E180" s="129"/>
      <c r="F180" s="129"/>
      <c r="G180" s="129"/>
      <c r="H180" s="129"/>
      <c r="I180" s="129"/>
      <c r="J180" s="129"/>
    </row>
    <row r="181" spans="1:10" x14ac:dyDescent="0.2">
      <c r="A181" s="129" t="s">
        <v>345</v>
      </c>
      <c r="B181" s="129"/>
      <c r="C181" s="129"/>
      <c r="D181" s="129"/>
      <c r="E181" s="129"/>
      <c r="F181" s="129"/>
      <c r="G181" s="129"/>
      <c r="H181" s="129"/>
      <c r="I181" s="129"/>
      <c r="J181" s="129"/>
    </row>
    <row r="182" spans="1:10" x14ac:dyDescent="0.2">
      <c r="A182" s="129" t="s">
        <v>346</v>
      </c>
      <c r="B182" s="129"/>
      <c r="C182" s="129"/>
      <c r="D182" s="129"/>
      <c r="E182" s="129"/>
      <c r="F182" s="129"/>
      <c r="G182" s="129"/>
      <c r="H182" s="129"/>
      <c r="I182" s="129"/>
      <c r="J182" s="129"/>
    </row>
    <row r="183" spans="1:10" x14ac:dyDescent="0.2">
      <c r="A183" s="129" t="s">
        <v>347</v>
      </c>
      <c r="B183" s="129"/>
      <c r="C183" s="129"/>
      <c r="D183" s="129"/>
      <c r="E183" s="129"/>
      <c r="F183" s="129"/>
      <c r="G183" s="129"/>
      <c r="H183" s="129"/>
      <c r="I183" s="129"/>
      <c r="J183" s="129"/>
    </row>
    <row r="184" spans="1:10" x14ac:dyDescent="0.2">
      <c r="A184" s="129"/>
      <c r="B184" s="129"/>
      <c r="C184" s="129"/>
      <c r="D184" s="129"/>
      <c r="E184" s="129"/>
      <c r="F184" s="129"/>
      <c r="G184" s="129"/>
      <c r="H184" s="129"/>
      <c r="I184" s="129"/>
      <c r="J184" s="129"/>
    </row>
    <row r="185" spans="1:10" x14ac:dyDescent="0.2">
      <c r="A185" s="183" t="s">
        <v>311</v>
      </c>
      <c r="B185" s="183"/>
      <c r="C185" s="183"/>
      <c r="D185" s="183"/>
      <c r="E185" s="183"/>
      <c r="F185" s="183"/>
      <c r="G185" s="183"/>
      <c r="H185" s="183"/>
      <c r="I185" s="183"/>
      <c r="J185" s="183"/>
    </row>
    <row r="186" spans="1:10" x14ac:dyDescent="0.2">
      <c r="A186" s="129"/>
      <c r="B186" s="129"/>
      <c r="C186" s="129"/>
      <c r="D186" s="129"/>
      <c r="E186" s="129"/>
      <c r="F186" s="129"/>
      <c r="G186" s="129"/>
      <c r="H186" s="129"/>
      <c r="I186" s="129"/>
      <c r="J186" s="129"/>
    </row>
    <row r="187" spans="1:10" x14ac:dyDescent="0.2">
      <c r="A187" s="129"/>
      <c r="B187" s="129"/>
      <c r="C187" s="129"/>
      <c r="D187" s="129"/>
      <c r="E187" s="129"/>
      <c r="F187" s="129"/>
      <c r="G187" s="129"/>
      <c r="H187" s="129"/>
      <c r="I187" s="129"/>
      <c r="J187" s="129"/>
    </row>
    <row r="188" spans="1:10" ht="22.5" x14ac:dyDescent="0.2">
      <c r="A188" s="180" t="s">
        <v>315</v>
      </c>
      <c r="B188" s="180"/>
      <c r="C188" s="180"/>
      <c r="D188" s="180"/>
      <c r="E188" s="180"/>
      <c r="F188" s="184" t="str">
        <f>F106</f>
        <v xml:space="preserve"> Actual 2014-2015</v>
      </c>
      <c r="G188" s="184" t="str">
        <f>G106</f>
        <v xml:space="preserve"> Estimate 2015-2016</v>
      </c>
      <c r="H188" s="184" t="str">
        <f>H106</f>
        <v xml:space="preserve"> Target 2016-2017</v>
      </c>
      <c r="I188" s="184" t="str">
        <f>I106</f>
        <v xml:space="preserve"> Target 2017-2018</v>
      </c>
      <c r="J188" s="184" t="str">
        <f>J106</f>
        <v xml:space="preserve"> Target 2018-2019</v>
      </c>
    </row>
    <row r="189" spans="1:10" x14ac:dyDescent="0.2">
      <c r="A189" s="180" t="s">
        <v>316</v>
      </c>
      <c r="B189" s="180"/>
      <c r="C189" s="180"/>
      <c r="D189" s="180"/>
      <c r="E189" s="180"/>
      <c r="F189" s="180"/>
      <c r="G189" s="180"/>
      <c r="H189" s="180"/>
      <c r="I189" s="180"/>
      <c r="J189" s="180"/>
    </row>
    <row r="190" spans="1:10" ht="14.25" customHeight="1" x14ac:dyDescent="0.2">
      <c r="A190" s="129" t="s">
        <v>348</v>
      </c>
      <c r="B190" s="129"/>
      <c r="C190" s="129"/>
      <c r="D190" s="129"/>
      <c r="E190" s="129"/>
      <c r="F190" s="191">
        <v>173</v>
      </c>
      <c r="G190" s="191"/>
      <c r="H190" s="191"/>
      <c r="I190" s="191"/>
      <c r="J190" s="191"/>
    </row>
    <row r="191" spans="1:10" ht="14.25" customHeight="1" x14ac:dyDescent="0.2">
      <c r="A191" s="129" t="s">
        <v>349</v>
      </c>
      <c r="B191" s="129"/>
      <c r="C191" s="129"/>
      <c r="D191" s="129"/>
      <c r="E191" s="129"/>
      <c r="F191" s="191">
        <v>22</v>
      </c>
      <c r="G191" s="191"/>
      <c r="H191" s="191"/>
      <c r="I191" s="191"/>
      <c r="J191" s="191"/>
    </row>
    <row r="192" spans="1:10" ht="14.25" customHeight="1" x14ac:dyDescent="0.2">
      <c r="A192" s="129" t="s">
        <v>350</v>
      </c>
      <c r="B192" s="129"/>
      <c r="C192" s="129"/>
      <c r="D192" s="129"/>
      <c r="E192" s="129"/>
      <c r="F192" s="191">
        <v>195</v>
      </c>
      <c r="G192" s="191">
        <v>200</v>
      </c>
      <c r="H192" s="191">
        <v>210</v>
      </c>
      <c r="I192" s="191">
        <v>215</v>
      </c>
      <c r="J192" s="191">
        <v>210</v>
      </c>
    </row>
    <row r="193" spans="1:10" ht="14.25" customHeight="1" x14ac:dyDescent="0.2">
      <c r="A193" s="129" t="s">
        <v>351</v>
      </c>
      <c r="B193" s="129"/>
      <c r="C193" s="129"/>
      <c r="D193" s="129"/>
      <c r="E193" s="129"/>
      <c r="F193" s="191">
        <v>106</v>
      </c>
      <c r="G193" s="191"/>
      <c r="H193" s="191"/>
      <c r="I193" s="191"/>
      <c r="J193" s="191"/>
    </row>
    <row r="194" spans="1:10" ht="14.25" customHeight="1" x14ac:dyDescent="0.2">
      <c r="A194" s="129" t="s">
        <v>352</v>
      </c>
      <c r="B194" s="129"/>
      <c r="C194" s="129"/>
      <c r="D194" s="129"/>
      <c r="E194" s="129"/>
      <c r="F194" s="191">
        <v>20</v>
      </c>
      <c r="G194" s="191"/>
      <c r="H194" s="191"/>
      <c r="I194" s="191"/>
      <c r="J194" s="191"/>
    </row>
    <row r="195" spans="1:10" ht="14.25" customHeight="1" x14ac:dyDescent="0.2">
      <c r="A195" s="129" t="s">
        <v>353</v>
      </c>
      <c r="B195" s="129"/>
      <c r="C195" s="129"/>
      <c r="D195" s="129"/>
      <c r="E195" s="129"/>
      <c r="F195" s="191">
        <v>126</v>
      </c>
      <c r="G195" s="191">
        <v>150</v>
      </c>
      <c r="H195" s="191">
        <v>160</v>
      </c>
      <c r="I195" s="191">
        <v>170</v>
      </c>
      <c r="J195" s="191">
        <v>180</v>
      </c>
    </row>
    <row r="196" spans="1:10" ht="14.25" customHeight="1" x14ac:dyDescent="0.2">
      <c r="A196" s="129" t="s">
        <v>354</v>
      </c>
      <c r="B196" s="129"/>
      <c r="C196" s="129"/>
      <c r="D196" s="129"/>
      <c r="E196" s="129"/>
      <c r="F196" s="191">
        <v>98</v>
      </c>
      <c r="G196" s="191">
        <v>95</v>
      </c>
      <c r="H196" s="191">
        <v>90</v>
      </c>
      <c r="I196" s="191">
        <v>90</v>
      </c>
      <c r="J196" s="191">
        <v>85</v>
      </c>
    </row>
    <row r="197" spans="1:10" ht="14.25" customHeight="1" x14ac:dyDescent="0.2">
      <c r="A197" s="129" t="s">
        <v>355</v>
      </c>
      <c r="B197" s="129"/>
      <c r="C197" s="129"/>
      <c r="D197" s="129"/>
      <c r="E197" s="129"/>
      <c r="F197" s="191">
        <v>83</v>
      </c>
      <c r="G197" s="191">
        <v>85</v>
      </c>
      <c r="H197" s="191">
        <v>85</v>
      </c>
      <c r="I197" s="191">
        <v>85</v>
      </c>
      <c r="J197" s="191">
        <v>90</v>
      </c>
    </row>
    <row r="198" spans="1:10" x14ac:dyDescent="0.2">
      <c r="A198" s="188"/>
      <c r="B198" s="188"/>
      <c r="C198" s="188"/>
      <c r="D198" s="188"/>
      <c r="E198" s="188"/>
      <c r="F198" s="190"/>
      <c r="G198" s="190"/>
      <c r="H198" s="190"/>
      <c r="I198" s="190"/>
      <c r="J198" s="190"/>
    </row>
    <row r="199" spans="1:10" ht="21" customHeight="1" x14ac:dyDescent="0.2">
      <c r="A199" s="180" t="s">
        <v>324</v>
      </c>
      <c r="B199" s="180"/>
      <c r="C199" s="180"/>
      <c r="D199" s="180"/>
      <c r="E199" s="180"/>
      <c r="F199" s="180"/>
      <c r="G199" s="180"/>
      <c r="H199" s="180"/>
      <c r="I199" s="180"/>
      <c r="J199" s="180"/>
    </row>
    <row r="200" spans="1:10" x14ac:dyDescent="0.2">
      <c r="A200" s="205" t="s">
        <v>356</v>
      </c>
      <c r="B200" s="205"/>
      <c r="C200" s="205"/>
      <c r="D200" s="205"/>
      <c r="E200" s="205"/>
      <c r="F200" s="206">
        <v>0.65</v>
      </c>
      <c r="G200" s="206">
        <v>0.68</v>
      </c>
      <c r="H200" s="206">
        <v>0.7</v>
      </c>
      <c r="I200" s="206">
        <v>0.73</v>
      </c>
      <c r="J200" s="206">
        <v>0.75</v>
      </c>
    </row>
    <row r="201" spans="1:10" x14ac:dyDescent="0.2">
      <c r="A201" s="205" t="s">
        <v>357</v>
      </c>
      <c r="B201" s="205"/>
      <c r="C201" s="205"/>
      <c r="D201" s="205"/>
      <c r="E201" s="205"/>
      <c r="F201" s="206">
        <v>0.53</v>
      </c>
      <c r="G201" s="206">
        <v>0.55000000000000004</v>
      </c>
      <c r="H201" s="206">
        <v>0.56999999999999995</v>
      </c>
      <c r="I201" s="206">
        <v>0.6</v>
      </c>
      <c r="J201" s="206">
        <v>0.63</v>
      </c>
    </row>
    <row r="202" spans="1:10" x14ac:dyDescent="0.2">
      <c r="A202" s="205" t="s">
        <v>358</v>
      </c>
      <c r="B202" s="205"/>
      <c r="C202" s="205"/>
      <c r="D202" s="205"/>
      <c r="E202" s="205"/>
      <c r="F202" s="207">
        <v>39</v>
      </c>
      <c r="G202" s="207">
        <v>40</v>
      </c>
      <c r="H202" s="207">
        <v>41</v>
      </c>
      <c r="I202" s="207">
        <v>43</v>
      </c>
      <c r="J202" s="207">
        <v>41</v>
      </c>
    </row>
    <row r="203" spans="1:10" x14ac:dyDescent="0.2">
      <c r="A203" s="205" t="s">
        <v>359</v>
      </c>
      <c r="B203" s="205"/>
      <c r="C203" s="205"/>
      <c r="D203" s="205"/>
      <c r="E203" s="205"/>
      <c r="F203" s="207">
        <v>25</v>
      </c>
      <c r="G203" s="207">
        <v>26</v>
      </c>
      <c r="H203" s="207"/>
      <c r="I203" s="207"/>
      <c r="J203" s="207"/>
    </row>
    <row r="204" spans="1:10" ht="22.5" x14ac:dyDescent="0.2">
      <c r="A204" s="205" t="s">
        <v>360</v>
      </c>
      <c r="B204" s="205"/>
      <c r="C204" s="205"/>
      <c r="D204" s="205"/>
      <c r="E204" s="205"/>
      <c r="F204" s="207" t="s">
        <v>361</v>
      </c>
      <c r="G204" s="207" t="s">
        <v>362</v>
      </c>
      <c r="H204" s="207"/>
      <c r="I204" s="207"/>
      <c r="J204" s="207"/>
    </row>
    <row r="205" spans="1:10" ht="56.25" x14ac:dyDescent="0.2">
      <c r="A205" s="205"/>
      <c r="B205" s="205"/>
      <c r="C205" s="205"/>
      <c r="D205" s="205"/>
      <c r="E205" s="205"/>
      <c r="F205" s="207" t="s">
        <v>363</v>
      </c>
      <c r="G205" s="207" t="s">
        <v>364</v>
      </c>
      <c r="H205" s="207"/>
      <c r="I205" s="207"/>
      <c r="J205" s="207"/>
    </row>
    <row r="206" spans="1:10" x14ac:dyDescent="0.2">
      <c r="A206" s="188"/>
      <c r="B206" s="188"/>
      <c r="C206" s="188"/>
      <c r="D206" s="188"/>
      <c r="E206" s="188"/>
      <c r="F206" s="190"/>
      <c r="G206" s="190"/>
      <c r="H206" s="190"/>
      <c r="I206" s="190"/>
      <c r="J206" s="190"/>
    </row>
    <row r="207" spans="1:10" x14ac:dyDescent="0.2">
      <c r="A207" s="150" t="s">
        <v>365</v>
      </c>
      <c r="B207" s="150"/>
      <c r="C207" s="150"/>
      <c r="D207" s="150"/>
      <c r="E207" s="150"/>
      <c r="F207" s="150"/>
      <c r="G207" s="150"/>
      <c r="H207" s="150"/>
      <c r="I207" s="150"/>
      <c r="J207" s="150"/>
    </row>
    <row r="208" spans="1:10" x14ac:dyDescent="0.2">
      <c r="A208" s="151" t="s">
        <v>291</v>
      </c>
      <c r="B208" s="151"/>
      <c r="C208" s="151"/>
      <c r="D208" s="101"/>
      <c r="E208" s="101"/>
      <c r="F208" s="101"/>
      <c r="G208" s="101"/>
      <c r="H208" s="101"/>
      <c r="I208" s="101"/>
      <c r="J208" s="101"/>
    </row>
    <row r="209" spans="1:10" ht="46.5" customHeight="1" x14ac:dyDescent="0.2">
      <c r="A209" s="129" t="s">
        <v>366</v>
      </c>
      <c r="B209" s="129"/>
      <c r="C209" s="129"/>
      <c r="D209" s="129"/>
      <c r="E209" s="129"/>
      <c r="F209" s="129"/>
      <c r="G209" s="129"/>
      <c r="H209" s="129"/>
      <c r="I209" s="129"/>
      <c r="J209" s="129"/>
    </row>
    <row r="210" spans="1:10" x14ac:dyDescent="0.2">
      <c r="A210" s="128" t="s">
        <v>293</v>
      </c>
      <c r="B210" s="128"/>
      <c r="C210" s="128"/>
      <c r="D210" s="128"/>
      <c r="E210" s="128"/>
      <c r="F210" s="128"/>
      <c r="G210" s="128"/>
      <c r="H210" s="128"/>
      <c r="I210" s="128"/>
      <c r="J210" s="128"/>
    </row>
    <row r="211" spans="1:10" ht="33.75" x14ac:dyDescent="0.2">
      <c r="A211" s="152" t="s">
        <v>243</v>
      </c>
      <c r="B211" s="151" t="s">
        <v>242</v>
      </c>
      <c r="C211" s="151"/>
      <c r="D211" s="151"/>
      <c r="E211" s="132" t="str">
        <f t="shared" ref="E211:J211" si="32">E23</f>
        <v>Actuals           2014-2015</v>
      </c>
      <c r="F211" s="132" t="str">
        <f t="shared" si="32"/>
        <v>Approved Estimates          2015-2016</v>
      </c>
      <c r="G211" s="132" t="str">
        <f t="shared" si="32"/>
        <v>Revised Estimates                 2015-2016</v>
      </c>
      <c r="H211" s="132" t="str">
        <f t="shared" si="32"/>
        <v>Budget Estimates      2016-2017</v>
      </c>
      <c r="I211" s="132" t="str">
        <f t="shared" si="32"/>
        <v>Forward Estimates     2017-2018</v>
      </c>
      <c r="J211" s="132" t="str">
        <f t="shared" si="32"/>
        <v>Forward Estimates     2018-2019</v>
      </c>
    </row>
    <row r="212" spans="1:10" x14ac:dyDescent="0.2">
      <c r="A212" s="208" t="s">
        <v>89</v>
      </c>
      <c r="B212" s="129"/>
      <c r="C212" s="101"/>
      <c r="D212" s="101"/>
      <c r="E212" s="209"/>
      <c r="F212" s="209"/>
      <c r="G212" s="209"/>
      <c r="H212" s="210"/>
      <c r="I212" s="211"/>
      <c r="J212" s="211"/>
    </row>
    <row r="213" spans="1:10" ht="15" customHeight="1" x14ac:dyDescent="0.2">
      <c r="A213" s="208" t="s">
        <v>89</v>
      </c>
      <c r="B213" s="129"/>
      <c r="C213" s="101"/>
      <c r="D213" s="101"/>
      <c r="E213" s="209"/>
      <c r="F213" s="209"/>
      <c r="G213" s="209"/>
      <c r="H213" s="210"/>
      <c r="I213" s="211"/>
      <c r="J213" s="211"/>
    </row>
    <row r="214" spans="1:10" x14ac:dyDescent="0.2">
      <c r="A214" s="137" t="s">
        <v>280</v>
      </c>
      <c r="B214" s="137"/>
      <c r="C214" s="137"/>
      <c r="D214" s="137"/>
      <c r="E214" s="138">
        <f t="shared" ref="E214:J214" si="33">SUM(E212:E213)</f>
        <v>0</v>
      </c>
      <c r="F214" s="138">
        <f t="shared" si="33"/>
        <v>0</v>
      </c>
      <c r="G214" s="138">
        <f t="shared" si="33"/>
        <v>0</v>
      </c>
      <c r="H214" s="138">
        <f t="shared" si="33"/>
        <v>0</v>
      </c>
      <c r="I214" s="138">
        <f t="shared" si="33"/>
        <v>0</v>
      </c>
      <c r="J214" s="138">
        <f t="shared" si="33"/>
        <v>0</v>
      </c>
    </row>
    <row r="215" spans="1:10" x14ac:dyDescent="0.2">
      <c r="A215" s="129"/>
      <c r="B215" s="129"/>
      <c r="C215" s="129"/>
      <c r="D215" s="129"/>
      <c r="E215" s="129"/>
      <c r="F215" s="129"/>
      <c r="G215" s="129"/>
      <c r="H215" s="129"/>
      <c r="I215" s="129"/>
      <c r="J215" s="129"/>
    </row>
    <row r="216" spans="1:10" x14ac:dyDescent="0.2">
      <c r="A216" s="128" t="s">
        <v>284</v>
      </c>
      <c r="B216" s="128"/>
      <c r="C216" s="128"/>
      <c r="D216" s="128"/>
      <c r="E216" s="128"/>
      <c r="F216" s="128"/>
      <c r="G216" s="128"/>
      <c r="H216" s="128"/>
      <c r="I216" s="128"/>
      <c r="J216" s="128"/>
    </row>
    <row r="217" spans="1:10" ht="33.75" x14ac:dyDescent="0.2">
      <c r="A217" s="152" t="s">
        <v>243</v>
      </c>
      <c r="B217" s="151" t="s">
        <v>242</v>
      </c>
      <c r="C217" s="151"/>
      <c r="D217" s="151"/>
      <c r="E217" s="132" t="str">
        <f t="shared" ref="E217:J217" si="34">E23</f>
        <v>Actuals           2014-2015</v>
      </c>
      <c r="F217" s="132" t="str">
        <f t="shared" si="34"/>
        <v>Approved Estimates          2015-2016</v>
      </c>
      <c r="G217" s="132" t="str">
        <f t="shared" si="34"/>
        <v>Revised Estimates                 2015-2016</v>
      </c>
      <c r="H217" s="132" t="str">
        <f t="shared" si="34"/>
        <v>Budget Estimates      2016-2017</v>
      </c>
      <c r="I217" s="132" t="str">
        <f t="shared" si="34"/>
        <v>Forward Estimates     2017-2018</v>
      </c>
      <c r="J217" s="132" t="str">
        <f t="shared" si="34"/>
        <v>Forward Estimates     2018-2019</v>
      </c>
    </row>
    <row r="218" spans="1:10" x14ac:dyDescent="0.2">
      <c r="A218" s="151" t="s">
        <v>7</v>
      </c>
      <c r="B218" s="151"/>
      <c r="C218" s="151"/>
      <c r="D218" s="151"/>
      <c r="E218" s="151"/>
      <c r="F218" s="151"/>
      <c r="G218" s="151"/>
      <c r="H218" s="151"/>
      <c r="I218" s="151"/>
      <c r="J218" s="190"/>
    </row>
    <row r="219" spans="1:10" x14ac:dyDescent="0.2">
      <c r="A219" s="133">
        <v>210</v>
      </c>
      <c r="B219" s="212" t="s">
        <v>7</v>
      </c>
      <c r="C219" s="213"/>
      <c r="D219" s="214"/>
      <c r="E219" s="158">
        <v>85032</v>
      </c>
      <c r="F219" s="158">
        <v>86600</v>
      </c>
      <c r="G219" s="158">
        <v>86600</v>
      </c>
      <c r="H219" s="136">
        <v>128400</v>
      </c>
      <c r="I219" s="158">
        <v>128400</v>
      </c>
      <c r="J219" s="158">
        <v>128400</v>
      </c>
    </row>
    <row r="220" spans="1:10" x14ac:dyDescent="0.2">
      <c r="A220" s="133">
        <v>212</v>
      </c>
      <c r="B220" s="212" t="s">
        <v>9</v>
      </c>
      <c r="C220" s="213"/>
      <c r="D220" s="214"/>
      <c r="E220" s="158">
        <v>0</v>
      </c>
      <c r="F220" s="158">
        <v>0</v>
      </c>
      <c r="G220" s="158">
        <v>0</v>
      </c>
      <c r="H220" s="136">
        <v>0</v>
      </c>
      <c r="I220" s="158">
        <v>0</v>
      </c>
      <c r="J220" s="158">
        <v>0</v>
      </c>
    </row>
    <row r="221" spans="1:10" x14ac:dyDescent="0.2">
      <c r="A221" s="133">
        <v>216</v>
      </c>
      <c r="B221" s="212" t="s">
        <v>10</v>
      </c>
      <c r="C221" s="213"/>
      <c r="D221" s="214"/>
      <c r="E221" s="158">
        <v>16085.48</v>
      </c>
      <c r="F221" s="158">
        <v>16100</v>
      </c>
      <c r="G221" s="158">
        <v>19700</v>
      </c>
      <c r="H221" s="136">
        <v>21900</v>
      </c>
      <c r="I221" s="158">
        <v>21900</v>
      </c>
      <c r="J221" s="158">
        <v>21900</v>
      </c>
    </row>
    <row r="222" spans="1:10" x14ac:dyDescent="0.2">
      <c r="A222" s="133">
        <v>218</v>
      </c>
      <c r="B222" s="212" t="s">
        <v>294</v>
      </c>
      <c r="C222" s="213"/>
      <c r="D222" s="214"/>
      <c r="E222" s="158">
        <v>0</v>
      </c>
      <c r="F222" s="158">
        <v>0</v>
      </c>
      <c r="G222" s="158">
        <v>0</v>
      </c>
      <c r="H222" s="136">
        <v>0</v>
      </c>
      <c r="I222" s="158">
        <v>0</v>
      </c>
      <c r="J222" s="158">
        <v>0</v>
      </c>
    </row>
    <row r="223" spans="1:10" ht="13.9" customHeight="1" x14ac:dyDescent="0.2">
      <c r="A223" s="215" t="s">
        <v>295</v>
      </c>
      <c r="B223" s="216"/>
      <c r="C223" s="216"/>
      <c r="D223" s="217"/>
      <c r="E223" s="157">
        <f t="shared" ref="E223:J223" si="35">SUM(E219:E222)</f>
        <v>101117.48</v>
      </c>
      <c r="F223" s="157">
        <f t="shared" si="35"/>
        <v>102700</v>
      </c>
      <c r="G223" s="157">
        <f t="shared" si="35"/>
        <v>106300</v>
      </c>
      <c r="H223" s="157">
        <f t="shared" si="35"/>
        <v>150300</v>
      </c>
      <c r="I223" s="157">
        <f t="shared" si="35"/>
        <v>150300</v>
      </c>
      <c r="J223" s="157">
        <f t="shared" si="35"/>
        <v>150300</v>
      </c>
    </row>
    <row r="224" spans="1:10" ht="13.9" customHeight="1" x14ac:dyDescent="0.2">
      <c r="A224" s="215" t="s">
        <v>296</v>
      </c>
      <c r="B224" s="216"/>
      <c r="C224" s="216"/>
      <c r="D224" s="216"/>
      <c r="E224" s="216"/>
      <c r="F224" s="216"/>
      <c r="G224" s="216"/>
      <c r="H224" s="216"/>
      <c r="I224" s="217"/>
      <c r="J224" s="190"/>
    </row>
    <row r="225" spans="1:10" x14ac:dyDescent="0.2">
      <c r="A225" s="133">
        <v>222</v>
      </c>
      <c r="B225" s="212" t="s">
        <v>205</v>
      </c>
      <c r="C225" s="213"/>
      <c r="D225" s="214"/>
      <c r="E225" s="158">
        <v>14045.8</v>
      </c>
      <c r="F225" s="158">
        <v>8000</v>
      </c>
      <c r="G225" s="158">
        <v>8000</v>
      </c>
      <c r="H225" s="136">
        <v>8000</v>
      </c>
      <c r="I225" s="158">
        <v>8000</v>
      </c>
      <c r="J225" s="158">
        <v>8000</v>
      </c>
    </row>
    <row r="226" spans="1:10" x14ac:dyDescent="0.2">
      <c r="A226" s="133">
        <v>236</v>
      </c>
      <c r="B226" s="212" t="s">
        <v>213</v>
      </c>
      <c r="C226" s="213"/>
      <c r="D226" s="214"/>
      <c r="E226" s="158">
        <v>0</v>
      </c>
      <c r="F226" s="158">
        <v>10000</v>
      </c>
      <c r="G226" s="158">
        <v>10000</v>
      </c>
      <c r="H226" s="136">
        <v>10000</v>
      </c>
      <c r="I226" s="158">
        <v>10000</v>
      </c>
      <c r="J226" s="158">
        <v>10000</v>
      </c>
    </row>
    <row r="227" spans="1:10" x14ac:dyDescent="0.2">
      <c r="A227" s="133">
        <v>242</v>
      </c>
      <c r="B227" s="212" t="s">
        <v>216</v>
      </c>
      <c r="C227" s="213"/>
      <c r="D227" s="214"/>
      <c r="E227" s="158">
        <v>1628.3</v>
      </c>
      <c r="F227" s="158">
        <v>10000</v>
      </c>
      <c r="G227" s="158">
        <v>10000</v>
      </c>
      <c r="H227" s="136">
        <v>10000</v>
      </c>
      <c r="I227" s="158">
        <v>10000</v>
      </c>
      <c r="J227" s="158">
        <v>10000</v>
      </c>
    </row>
    <row r="228" spans="1:10" x14ac:dyDescent="0.2">
      <c r="A228" s="133">
        <v>275</v>
      </c>
      <c r="B228" s="212" t="s">
        <v>228</v>
      </c>
      <c r="C228" s="213"/>
      <c r="D228" s="214"/>
      <c r="E228" s="158">
        <v>185</v>
      </c>
      <c r="F228" s="158">
        <v>400</v>
      </c>
      <c r="G228" s="158">
        <v>800</v>
      </c>
      <c r="H228" s="136">
        <v>400</v>
      </c>
      <c r="I228" s="158">
        <v>400</v>
      </c>
      <c r="J228" s="158">
        <v>400</v>
      </c>
    </row>
    <row r="229" spans="1:10" x14ac:dyDescent="0.2">
      <c r="A229" s="156" t="s">
        <v>298</v>
      </c>
      <c r="B229" s="156"/>
      <c r="C229" s="156"/>
      <c r="D229" s="156"/>
      <c r="E229" s="157">
        <f t="shared" ref="E229:J229" si="36">SUM(E225:E228)</f>
        <v>15859.099999999999</v>
      </c>
      <c r="F229" s="157">
        <f t="shared" si="36"/>
        <v>28400</v>
      </c>
      <c r="G229" s="157">
        <f t="shared" si="36"/>
        <v>28800</v>
      </c>
      <c r="H229" s="157">
        <f t="shared" si="36"/>
        <v>28400</v>
      </c>
      <c r="I229" s="157">
        <f t="shared" si="36"/>
        <v>28400</v>
      </c>
      <c r="J229" s="157">
        <f t="shared" si="36"/>
        <v>28400</v>
      </c>
    </row>
    <row r="230" spans="1:10" x14ac:dyDescent="0.2">
      <c r="A230" s="159" t="s">
        <v>299</v>
      </c>
      <c r="B230" s="159"/>
      <c r="C230" s="159"/>
      <c r="D230" s="159"/>
      <c r="E230" s="160">
        <f t="shared" ref="E230:J230" si="37">SUM(E223,E229)</f>
        <v>116976.57999999999</v>
      </c>
      <c r="F230" s="160">
        <f t="shared" si="37"/>
        <v>131100</v>
      </c>
      <c r="G230" s="160">
        <f t="shared" si="37"/>
        <v>135100</v>
      </c>
      <c r="H230" s="160">
        <f t="shared" si="37"/>
        <v>178700</v>
      </c>
      <c r="I230" s="160">
        <f t="shared" si="37"/>
        <v>178700</v>
      </c>
      <c r="J230" s="160">
        <f t="shared" si="37"/>
        <v>178700</v>
      </c>
    </row>
    <row r="231" spans="1:10" x14ac:dyDescent="0.2">
      <c r="A231" s="161"/>
      <c r="B231" s="161"/>
      <c r="C231" s="161"/>
      <c r="D231" s="161"/>
      <c r="E231" s="161"/>
      <c r="F231" s="161"/>
      <c r="G231" s="161"/>
      <c r="H231" s="161"/>
      <c r="I231" s="161"/>
      <c r="J231" s="161"/>
    </row>
    <row r="232" spans="1:10" x14ac:dyDescent="0.2">
      <c r="A232" s="162" t="s">
        <v>15</v>
      </c>
      <c r="B232" s="162"/>
      <c r="C232" s="162"/>
      <c r="D232" s="162"/>
      <c r="E232" s="162"/>
      <c r="F232" s="162"/>
      <c r="G232" s="162"/>
      <c r="H232" s="162"/>
      <c r="I232" s="162"/>
      <c r="J232" s="162"/>
    </row>
    <row r="233" spans="1:10" ht="15" customHeight="1" x14ac:dyDescent="0.2">
      <c r="A233" s="131" t="s">
        <v>242</v>
      </c>
      <c r="B233" s="131"/>
      <c r="C233" s="131"/>
      <c r="D233" s="131"/>
      <c r="E233" s="218" t="str">
        <f t="shared" ref="E233:J233" si="38">E23</f>
        <v>Actuals           2014-2015</v>
      </c>
      <c r="F233" s="218" t="str">
        <f t="shared" si="38"/>
        <v>Approved Estimates          2015-2016</v>
      </c>
      <c r="G233" s="218" t="str">
        <f t="shared" si="38"/>
        <v>Revised Estimates                 2015-2016</v>
      </c>
      <c r="H233" s="218" t="str">
        <f t="shared" si="38"/>
        <v>Budget Estimates      2016-2017</v>
      </c>
      <c r="I233" s="218" t="str">
        <f t="shared" si="38"/>
        <v>Forward Estimates     2017-2018</v>
      </c>
      <c r="J233" s="218" t="str">
        <f t="shared" si="38"/>
        <v>Forward Estimates     2018-2019</v>
      </c>
    </row>
    <row r="234" spans="1:10" ht="17.25" customHeight="1" x14ac:dyDescent="0.2">
      <c r="A234" s="130" t="s">
        <v>243</v>
      </c>
      <c r="B234" s="130" t="s">
        <v>244</v>
      </c>
      <c r="C234" s="131" t="s">
        <v>245</v>
      </c>
      <c r="D234" s="131"/>
      <c r="E234" s="219"/>
      <c r="F234" s="219"/>
      <c r="G234" s="219"/>
      <c r="H234" s="219"/>
      <c r="I234" s="219"/>
      <c r="J234" s="219"/>
    </row>
    <row r="235" spans="1:10" x14ac:dyDescent="0.2">
      <c r="A235" s="163"/>
      <c r="B235" s="163"/>
      <c r="C235" s="156"/>
      <c r="D235" s="156"/>
      <c r="E235" s="209"/>
      <c r="F235" s="209"/>
      <c r="G235" s="209"/>
      <c r="H235" s="136"/>
      <c r="I235" s="158"/>
      <c r="J235" s="135"/>
    </row>
    <row r="236" spans="1:10" x14ac:dyDescent="0.2">
      <c r="A236" s="163"/>
      <c r="B236" s="163"/>
      <c r="C236" s="156"/>
      <c r="D236" s="156"/>
      <c r="E236" s="209"/>
      <c r="F236" s="209"/>
      <c r="G236" s="209"/>
      <c r="H236" s="136"/>
      <c r="I236" s="158"/>
      <c r="J236" s="135"/>
    </row>
    <row r="237" spans="1:10" x14ac:dyDescent="0.2">
      <c r="A237" s="137" t="s">
        <v>15</v>
      </c>
      <c r="B237" s="137"/>
      <c r="C237" s="137"/>
      <c r="D237" s="137"/>
      <c r="E237" s="138">
        <v>0</v>
      </c>
      <c r="F237" s="138">
        <v>0</v>
      </c>
      <c r="G237" s="138">
        <v>0</v>
      </c>
      <c r="H237" s="138">
        <v>0</v>
      </c>
      <c r="I237" s="138">
        <v>0</v>
      </c>
      <c r="J237" s="138">
        <v>0</v>
      </c>
    </row>
    <row r="238" spans="1:10" x14ac:dyDescent="0.2">
      <c r="A238" s="161"/>
      <c r="B238" s="161"/>
      <c r="C238" s="161"/>
      <c r="D238" s="161"/>
      <c r="E238" s="161"/>
      <c r="F238" s="161"/>
      <c r="G238" s="161"/>
      <c r="H238" s="161"/>
      <c r="I238" s="161"/>
      <c r="J238" s="161"/>
    </row>
    <row r="239" spans="1:10" ht="15" customHeight="1" x14ac:dyDescent="0.2">
      <c r="A239" s="161" t="s">
        <v>288</v>
      </c>
      <c r="B239" s="161"/>
      <c r="C239" s="161"/>
      <c r="D239" s="161"/>
      <c r="E239" s="161"/>
      <c r="F239" s="202"/>
      <c r="G239" s="202"/>
      <c r="H239" s="202"/>
      <c r="I239" s="202"/>
      <c r="J239" s="202"/>
    </row>
    <row r="240" spans="1:10" x14ac:dyDescent="0.2">
      <c r="A240" s="131" t="s">
        <v>300</v>
      </c>
      <c r="B240" s="131"/>
      <c r="C240" s="131"/>
      <c r="D240" s="132" t="s">
        <v>301</v>
      </c>
      <c r="E240" s="132" t="s">
        <v>302</v>
      </c>
      <c r="F240" s="220"/>
      <c r="G240" s="220"/>
      <c r="H240" s="220"/>
      <c r="I240" s="220"/>
      <c r="J240" s="221"/>
    </row>
    <row r="241" spans="1:10" ht="15" customHeight="1" x14ac:dyDescent="0.2">
      <c r="A241" s="134" t="str">
        <f>Establishment!D22</f>
        <v>Sergeant</v>
      </c>
      <c r="B241" s="134"/>
      <c r="C241" s="134"/>
      <c r="D241" s="133" t="str">
        <f>Establishment!E22</f>
        <v>R27-23</v>
      </c>
      <c r="E241" s="133">
        <f>Establishment!C22</f>
        <v>1</v>
      </c>
      <c r="F241" s="171"/>
      <c r="G241" s="171"/>
      <c r="H241" s="171"/>
      <c r="I241" s="171"/>
      <c r="J241" s="174"/>
    </row>
    <row r="242" spans="1:10" ht="15" customHeight="1" x14ac:dyDescent="0.2">
      <c r="A242" s="134" t="str">
        <f>Establishment!D23</f>
        <v>Constable</v>
      </c>
      <c r="B242" s="134"/>
      <c r="C242" s="134"/>
      <c r="D242" s="133" t="str">
        <f>Establishment!E23</f>
        <v>R39-28</v>
      </c>
      <c r="E242" s="133">
        <f>Establishment!C23</f>
        <v>1</v>
      </c>
      <c r="F242" s="171"/>
      <c r="G242" s="171"/>
      <c r="H242" s="171"/>
      <c r="I242" s="171"/>
      <c r="J242" s="174"/>
    </row>
    <row r="243" spans="1:10" x14ac:dyDescent="0.2">
      <c r="A243" s="159" t="s">
        <v>303</v>
      </c>
      <c r="B243" s="159"/>
      <c r="C243" s="159"/>
      <c r="D243" s="159"/>
      <c r="E243" s="132">
        <f>SUM(E241:E242)</f>
        <v>2</v>
      </c>
      <c r="F243" s="177"/>
      <c r="G243" s="177"/>
      <c r="H243" s="177"/>
      <c r="I243" s="177"/>
      <c r="J243" s="178"/>
    </row>
    <row r="244" spans="1:10" x14ac:dyDescent="0.2">
      <c r="A244" s="129"/>
      <c r="B244" s="129"/>
      <c r="C244" s="129"/>
      <c r="D244" s="129"/>
      <c r="E244" s="129"/>
      <c r="F244" s="179"/>
      <c r="G244" s="179"/>
      <c r="H244" s="179"/>
      <c r="I244" s="179"/>
      <c r="J244" s="179"/>
    </row>
    <row r="245" spans="1:10" x14ac:dyDescent="0.2">
      <c r="A245" s="180" t="s">
        <v>304</v>
      </c>
      <c r="B245" s="180"/>
      <c r="C245" s="180"/>
      <c r="D245" s="180"/>
      <c r="E245" s="180"/>
      <c r="F245" s="180"/>
      <c r="G245" s="180"/>
      <c r="H245" s="180"/>
      <c r="I245" s="180"/>
      <c r="J245" s="180"/>
    </row>
    <row r="246" spans="1:10" x14ac:dyDescent="0.2">
      <c r="A246" s="181" t="s">
        <v>341</v>
      </c>
      <c r="B246" s="181"/>
      <c r="C246" s="181"/>
      <c r="D246" s="181"/>
      <c r="E246" s="181"/>
      <c r="F246" s="181"/>
      <c r="G246" s="181"/>
      <c r="H246" s="181"/>
      <c r="I246" s="181"/>
      <c r="J246" s="181"/>
    </row>
    <row r="247" spans="1:10" ht="14.25" customHeight="1" x14ac:dyDescent="0.2">
      <c r="A247" s="129" t="s">
        <v>367</v>
      </c>
      <c r="B247" s="129"/>
      <c r="C247" s="129"/>
      <c r="D247" s="129"/>
      <c r="E247" s="129"/>
      <c r="F247" s="129"/>
      <c r="G247" s="129"/>
      <c r="H247" s="129"/>
      <c r="I247" s="129"/>
      <c r="J247" s="129"/>
    </row>
    <row r="248" spans="1:10" ht="14.25" customHeight="1" x14ac:dyDescent="0.2">
      <c r="A248" s="129" t="s">
        <v>368</v>
      </c>
      <c r="B248" s="129"/>
      <c r="C248" s="129"/>
      <c r="D248" s="129"/>
      <c r="E248" s="129"/>
      <c r="F248" s="129"/>
      <c r="G248" s="129"/>
      <c r="H248" s="129"/>
      <c r="I248" s="129"/>
      <c r="J248" s="129"/>
    </row>
    <row r="249" spans="1:10" ht="14.25" customHeight="1" x14ac:dyDescent="0.2">
      <c r="A249" s="129" t="s">
        <v>369</v>
      </c>
      <c r="B249" s="129"/>
      <c r="C249" s="129"/>
      <c r="D249" s="129"/>
      <c r="E249" s="129"/>
      <c r="F249" s="129"/>
      <c r="G249" s="129"/>
      <c r="H249" s="129"/>
      <c r="I249" s="129"/>
      <c r="J249" s="129"/>
    </row>
    <row r="250" spans="1:10" x14ac:dyDescent="0.2">
      <c r="A250" s="129" t="s">
        <v>370</v>
      </c>
      <c r="B250" s="129"/>
      <c r="C250" s="129"/>
      <c r="D250" s="129"/>
      <c r="E250" s="129"/>
      <c r="F250" s="129"/>
      <c r="G250" s="129"/>
      <c r="H250" s="129"/>
      <c r="I250" s="129"/>
      <c r="J250" s="129"/>
    </row>
    <row r="251" spans="1:10" ht="15" customHeight="1" x14ac:dyDescent="0.2">
      <c r="A251" s="129"/>
      <c r="B251" s="129"/>
      <c r="C251" s="129"/>
      <c r="D251" s="129"/>
      <c r="E251" s="129"/>
      <c r="F251" s="129"/>
      <c r="G251" s="129"/>
      <c r="H251" s="129"/>
      <c r="I251" s="129"/>
      <c r="J251" s="129"/>
    </row>
    <row r="252" spans="1:10" ht="15" customHeight="1" x14ac:dyDescent="0.2">
      <c r="A252" s="183" t="s">
        <v>311</v>
      </c>
      <c r="B252" s="183"/>
      <c r="C252" s="183"/>
      <c r="D252" s="183"/>
      <c r="E252" s="183"/>
      <c r="F252" s="183"/>
      <c r="G252" s="183"/>
      <c r="H252" s="183"/>
      <c r="I252" s="183"/>
      <c r="J252" s="183"/>
    </row>
    <row r="253" spans="1:10" ht="14.25" customHeight="1" x14ac:dyDescent="0.2">
      <c r="A253" s="129" t="s">
        <v>371</v>
      </c>
      <c r="B253" s="129"/>
      <c r="C253" s="129"/>
      <c r="D253" s="129"/>
      <c r="E253" s="129"/>
      <c r="F253" s="129"/>
      <c r="G253" s="129"/>
      <c r="H253" s="129"/>
      <c r="I253" s="129"/>
      <c r="J253" s="129"/>
    </row>
    <row r="254" spans="1:10" ht="14.25" customHeight="1" x14ac:dyDescent="0.2">
      <c r="A254" s="129" t="s">
        <v>372</v>
      </c>
      <c r="B254" s="129"/>
      <c r="C254" s="129"/>
      <c r="D254" s="129"/>
      <c r="E254" s="129"/>
      <c r="F254" s="129"/>
      <c r="G254" s="129"/>
      <c r="H254" s="129"/>
      <c r="I254" s="129"/>
      <c r="J254" s="129"/>
    </row>
    <row r="255" spans="1:10" ht="14.25" customHeight="1" x14ac:dyDescent="0.2">
      <c r="A255" s="129" t="s">
        <v>373</v>
      </c>
      <c r="B255" s="129"/>
      <c r="C255" s="129"/>
      <c r="D255" s="129"/>
      <c r="E255" s="129"/>
      <c r="F255" s="129"/>
      <c r="G255" s="129"/>
      <c r="H255" s="129"/>
      <c r="I255" s="129"/>
      <c r="J255" s="129"/>
    </row>
    <row r="256" spans="1:10" ht="14.25" customHeight="1" x14ac:dyDescent="0.2">
      <c r="A256" s="129" t="s">
        <v>374</v>
      </c>
      <c r="B256" s="129"/>
      <c r="C256" s="129"/>
      <c r="D256" s="129"/>
      <c r="E256" s="129"/>
      <c r="F256" s="129"/>
      <c r="G256" s="129"/>
      <c r="H256" s="129"/>
      <c r="I256" s="129"/>
      <c r="J256" s="129"/>
    </row>
    <row r="257" spans="1:10" x14ac:dyDescent="0.2">
      <c r="A257" s="129" t="s">
        <v>375</v>
      </c>
      <c r="B257" s="129"/>
      <c r="C257" s="129"/>
      <c r="D257" s="129"/>
      <c r="E257" s="129"/>
      <c r="F257" s="129"/>
      <c r="G257" s="129"/>
      <c r="H257" s="129"/>
      <c r="I257" s="129"/>
      <c r="J257" s="129"/>
    </row>
    <row r="258" spans="1:10" x14ac:dyDescent="0.2">
      <c r="A258" s="129"/>
      <c r="B258" s="129"/>
      <c r="C258" s="129"/>
      <c r="D258" s="129"/>
      <c r="E258" s="129"/>
      <c r="F258" s="129"/>
      <c r="G258" s="129"/>
      <c r="H258" s="129"/>
      <c r="I258" s="129"/>
      <c r="J258" s="129"/>
    </row>
    <row r="259" spans="1:10" ht="22.5" x14ac:dyDescent="0.2">
      <c r="A259" s="180" t="s">
        <v>315</v>
      </c>
      <c r="B259" s="180"/>
      <c r="C259" s="180"/>
      <c r="D259" s="180"/>
      <c r="E259" s="180"/>
      <c r="F259" s="184" t="str">
        <f>F106</f>
        <v xml:space="preserve"> Actual 2014-2015</v>
      </c>
      <c r="G259" s="184" t="str">
        <f>G106</f>
        <v xml:space="preserve"> Estimate 2015-2016</v>
      </c>
      <c r="H259" s="184" t="str">
        <f>H106</f>
        <v xml:space="preserve"> Target 2016-2017</v>
      </c>
      <c r="I259" s="184" t="str">
        <f>I106</f>
        <v xml:space="preserve"> Target 2017-2018</v>
      </c>
      <c r="J259" s="184" t="str">
        <f>J106</f>
        <v xml:space="preserve"> Target 2018-2019</v>
      </c>
    </row>
    <row r="260" spans="1:10" ht="15" customHeight="1" x14ac:dyDescent="0.2">
      <c r="A260" s="180" t="s">
        <v>316</v>
      </c>
      <c r="B260" s="180"/>
      <c r="C260" s="180"/>
      <c r="D260" s="180"/>
      <c r="E260" s="180"/>
      <c r="F260" s="180"/>
      <c r="G260" s="180"/>
      <c r="H260" s="180"/>
      <c r="I260" s="180"/>
      <c r="J260" s="180"/>
    </row>
    <row r="261" spans="1:10" x14ac:dyDescent="0.2">
      <c r="A261" s="129" t="s">
        <v>376</v>
      </c>
      <c r="B261" s="129"/>
      <c r="C261" s="129"/>
      <c r="D261" s="129"/>
      <c r="E261" s="129"/>
      <c r="F261" s="191" t="s">
        <v>377</v>
      </c>
      <c r="G261" s="191" t="s">
        <v>378</v>
      </c>
      <c r="H261" s="191" t="s">
        <v>379</v>
      </c>
      <c r="I261" s="191" t="s">
        <v>380</v>
      </c>
      <c r="J261" s="191">
        <v>14</v>
      </c>
    </row>
    <row r="262" spans="1:10" x14ac:dyDescent="0.2">
      <c r="A262" s="188"/>
      <c r="B262" s="188"/>
      <c r="C262" s="188"/>
      <c r="D262" s="188"/>
      <c r="E262" s="188"/>
      <c r="F262" s="190"/>
      <c r="G262" s="190"/>
      <c r="H262" s="190"/>
      <c r="I262" s="190"/>
      <c r="J262" s="190"/>
    </row>
    <row r="263" spans="1:10" ht="25.5" customHeight="1" x14ac:dyDescent="0.2">
      <c r="A263" s="180" t="s">
        <v>324</v>
      </c>
      <c r="B263" s="180"/>
      <c r="C263" s="180"/>
      <c r="D263" s="180"/>
      <c r="E263" s="180"/>
      <c r="F263" s="180"/>
      <c r="G263" s="180"/>
      <c r="H263" s="180"/>
      <c r="I263" s="180"/>
      <c r="J263" s="180"/>
    </row>
    <row r="264" spans="1:10" x14ac:dyDescent="0.2">
      <c r="A264" s="129" t="s">
        <v>381</v>
      </c>
      <c r="B264" s="129"/>
      <c r="C264" s="129"/>
      <c r="D264" s="129"/>
      <c r="E264" s="129"/>
      <c r="F264" s="190"/>
      <c r="G264" s="190"/>
      <c r="H264" s="190"/>
      <c r="I264" s="190"/>
      <c r="J264" s="190"/>
    </row>
    <row r="265" spans="1:10" x14ac:dyDescent="0.2">
      <c r="E265" s="100"/>
      <c r="F265" s="100"/>
      <c r="G265" s="100"/>
    </row>
    <row r="266" spans="1:10" x14ac:dyDescent="0.2">
      <c r="A266" s="222"/>
      <c r="B266" s="222"/>
      <c r="C266" s="222"/>
      <c r="D266" s="222"/>
      <c r="E266" s="222" t="s">
        <v>382</v>
      </c>
      <c r="F266" s="222"/>
      <c r="G266" s="222"/>
      <c r="H266" s="222"/>
      <c r="I266" s="222"/>
      <c r="J266" s="223" t="s">
        <v>383</v>
      </c>
    </row>
    <row r="267" spans="1:10" ht="34.5" thickBot="1" x14ac:dyDescent="0.25">
      <c r="A267" s="224"/>
      <c r="B267" s="224" t="s">
        <v>188</v>
      </c>
      <c r="C267" s="225"/>
      <c r="D267" s="226"/>
      <c r="E267" s="184" t="str">
        <f t="shared" ref="E267:J267" si="39">E23</f>
        <v>Actuals           2014-2015</v>
      </c>
      <c r="F267" s="184" t="str">
        <f t="shared" si="39"/>
        <v>Approved Estimates          2015-2016</v>
      </c>
      <c r="G267" s="184" t="str">
        <f t="shared" si="39"/>
        <v>Revised Estimates                 2015-2016</v>
      </c>
      <c r="H267" s="184" t="str">
        <f t="shared" si="39"/>
        <v>Budget Estimates      2016-2017</v>
      </c>
      <c r="I267" s="184" t="str">
        <f t="shared" si="39"/>
        <v>Forward Estimates     2017-2018</v>
      </c>
      <c r="J267" s="184" t="str">
        <f t="shared" si="39"/>
        <v>Forward Estimates     2018-2019</v>
      </c>
    </row>
    <row r="268" spans="1:10" x14ac:dyDescent="0.2">
      <c r="A268" s="227"/>
      <c r="B268" s="227"/>
      <c r="C268" s="227"/>
      <c r="D268" s="227"/>
      <c r="E268" s="227"/>
      <c r="F268" s="227"/>
      <c r="G268" s="227"/>
      <c r="H268" s="227"/>
      <c r="I268" s="228"/>
      <c r="J268" s="227"/>
    </row>
    <row r="269" spans="1:10" x14ac:dyDescent="0.2">
      <c r="A269" s="229" t="s">
        <v>7</v>
      </c>
      <c r="B269" s="229"/>
      <c r="C269" s="229"/>
      <c r="D269" s="229"/>
      <c r="E269" s="230"/>
      <c r="F269" s="230"/>
      <c r="G269" s="230"/>
      <c r="H269" s="230"/>
      <c r="I269" s="222"/>
      <c r="J269" s="222"/>
    </row>
    <row r="270" spans="1:10" x14ac:dyDescent="0.2">
      <c r="A270" s="222"/>
      <c r="B270" s="222" t="s">
        <v>384</v>
      </c>
      <c r="C270" s="222"/>
      <c r="D270" s="222"/>
      <c r="E270" s="231">
        <f t="shared" ref="E270:J270" si="40">E66</f>
        <v>892593.29</v>
      </c>
      <c r="F270" s="231">
        <f t="shared" si="40"/>
        <v>1020900</v>
      </c>
      <c r="G270" s="231">
        <f t="shared" si="40"/>
        <v>997900</v>
      </c>
      <c r="H270" s="231">
        <f t="shared" si="40"/>
        <v>1048200</v>
      </c>
      <c r="I270" s="231">
        <f t="shared" si="40"/>
        <v>1076000</v>
      </c>
      <c r="J270" s="231">
        <f t="shared" si="40"/>
        <v>1102400</v>
      </c>
    </row>
    <row r="271" spans="1:10" x14ac:dyDescent="0.2">
      <c r="A271" s="222"/>
      <c r="B271" s="222" t="s">
        <v>58</v>
      </c>
      <c r="C271" s="222"/>
      <c r="D271" s="222"/>
      <c r="E271" s="232">
        <f t="shared" ref="E271:J271" si="41">E137</f>
        <v>2742329.04</v>
      </c>
      <c r="F271" s="232">
        <f t="shared" si="41"/>
        <v>2987700</v>
      </c>
      <c r="G271" s="232">
        <f t="shared" si="41"/>
        <v>2885800</v>
      </c>
      <c r="H271" s="232">
        <f t="shared" si="41"/>
        <v>3100500</v>
      </c>
      <c r="I271" s="232">
        <f t="shared" si="41"/>
        <v>3181600</v>
      </c>
      <c r="J271" s="232">
        <f t="shared" si="41"/>
        <v>3262700</v>
      </c>
    </row>
    <row r="272" spans="1:10" x14ac:dyDescent="0.2">
      <c r="A272" s="233"/>
      <c r="B272" s="233" t="s">
        <v>90</v>
      </c>
      <c r="C272" s="233"/>
      <c r="D272" s="233"/>
      <c r="E272" s="234">
        <f t="shared" ref="E272:J272" si="42">E219</f>
        <v>85032</v>
      </c>
      <c r="F272" s="234">
        <f t="shared" si="42"/>
        <v>86600</v>
      </c>
      <c r="G272" s="234">
        <f t="shared" si="42"/>
        <v>86600</v>
      </c>
      <c r="H272" s="234">
        <f t="shared" si="42"/>
        <v>128400</v>
      </c>
      <c r="I272" s="234">
        <f t="shared" si="42"/>
        <v>128400</v>
      </c>
      <c r="J272" s="234">
        <f t="shared" si="42"/>
        <v>128400</v>
      </c>
    </row>
    <row r="273" spans="1:10" ht="15" thickBot="1" x14ac:dyDescent="0.25">
      <c r="A273" s="222"/>
      <c r="B273" s="222"/>
      <c r="C273" s="229" t="s">
        <v>385</v>
      </c>
      <c r="D273" s="235"/>
      <c r="E273" s="236">
        <f t="shared" ref="E273:J273" si="43">SUM(E270:E272)</f>
        <v>3719954.33</v>
      </c>
      <c r="F273" s="236">
        <f t="shared" si="43"/>
        <v>4095200</v>
      </c>
      <c r="G273" s="236">
        <f t="shared" si="43"/>
        <v>3970300</v>
      </c>
      <c r="H273" s="236">
        <f t="shared" si="43"/>
        <v>4277100</v>
      </c>
      <c r="I273" s="236">
        <f t="shared" si="43"/>
        <v>4386000</v>
      </c>
      <c r="J273" s="236">
        <f t="shared" si="43"/>
        <v>4493500</v>
      </c>
    </row>
    <row r="274" spans="1:10" x14ac:dyDescent="0.2">
      <c r="A274" s="237" t="s">
        <v>196</v>
      </c>
      <c r="B274" s="237"/>
      <c r="C274" s="233"/>
      <c r="D274" s="238"/>
      <c r="E274" s="227"/>
      <c r="F274" s="227"/>
      <c r="G274" s="227"/>
      <c r="H274" s="227"/>
      <c r="I274" s="227"/>
      <c r="J274" s="227"/>
    </row>
    <row r="275" spans="1:10" x14ac:dyDescent="0.2">
      <c r="A275" s="222"/>
      <c r="B275" s="222" t="s">
        <v>384</v>
      </c>
      <c r="C275" s="222"/>
      <c r="D275" s="222"/>
      <c r="E275" s="231">
        <f t="shared" ref="E275:J275" si="44">E67</f>
        <v>0</v>
      </c>
      <c r="F275" s="231">
        <f t="shared" si="44"/>
        <v>0</v>
      </c>
      <c r="G275" s="231">
        <f t="shared" si="44"/>
        <v>0</v>
      </c>
      <c r="H275" s="231">
        <f t="shared" si="44"/>
        <v>0</v>
      </c>
      <c r="I275" s="231">
        <f t="shared" si="44"/>
        <v>0</v>
      </c>
      <c r="J275" s="231">
        <f t="shared" si="44"/>
        <v>0</v>
      </c>
    </row>
    <row r="276" spans="1:10" x14ac:dyDescent="0.2">
      <c r="A276" s="222"/>
      <c r="B276" s="222" t="s">
        <v>58</v>
      </c>
      <c r="C276" s="222"/>
      <c r="D276" s="222"/>
      <c r="E276" s="232">
        <f t="shared" ref="E276:J276" si="45">E138</f>
        <v>0</v>
      </c>
      <c r="F276" s="232">
        <f t="shared" si="45"/>
        <v>0</v>
      </c>
      <c r="G276" s="232">
        <f t="shared" si="45"/>
        <v>0</v>
      </c>
      <c r="H276" s="232">
        <f t="shared" si="45"/>
        <v>0</v>
      </c>
      <c r="I276" s="232">
        <f t="shared" si="45"/>
        <v>0</v>
      </c>
      <c r="J276" s="232">
        <f t="shared" si="45"/>
        <v>0</v>
      </c>
    </row>
    <row r="277" spans="1:10" x14ac:dyDescent="0.2">
      <c r="A277" s="233"/>
      <c r="B277" s="233" t="s">
        <v>90</v>
      </c>
      <c r="C277" s="233"/>
      <c r="D277" s="233"/>
      <c r="E277" s="234">
        <f t="shared" ref="E277:J277" si="46">E220</f>
        <v>0</v>
      </c>
      <c r="F277" s="234">
        <f t="shared" si="46"/>
        <v>0</v>
      </c>
      <c r="G277" s="234">
        <f t="shared" si="46"/>
        <v>0</v>
      </c>
      <c r="H277" s="234">
        <f t="shared" si="46"/>
        <v>0</v>
      </c>
      <c r="I277" s="234">
        <f t="shared" si="46"/>
        <v>0</v>
      </c>
      <c r="J277" s="234">
        <f t="shared" si="46"/>
        <v>0</v>
      </c>
    </row>
    <row r="278" spans="1:10" ht="15" thickBot="1" x14ac:dyDescent="0.25">
      <c r="A278" s="229"/>
      <c r="B278" s="229"/>
      <c r="C278" s="229" t="s">
        <v>386</v>
      </c>
      <c r="D278" s="239"/>
      <c r="E278" s="236">
        <f t="shared" ref="E278:J278" si="47">SUM(E275:E277)</f>
        <v>0</v>
      </c>
      <c r="F278" s="236">
        <f t="shared" si="47"/>
        <v>0</v>
      </c>
      <c r="G278" s="236">
        <f t="shared" si="47"/>
        <v>0</v>
      </c>
      <c r="H278" s="236">
        <f t="shared" si="47"/>
        <v>0</v>
      </c>
      <c r="I278" s="236">
        <f t="shared" si="47"/>
        <v>0</v>
      </c>
      <c r="J278" s="236">
        <f t="shared" si="47"/>
        <v>0</v>
      </c>
    </row>
    <row r="279" spans="1:10" x14ac:dyDescent="0.2">
      <c r="A279" s="229" t="s">
        <v>387</v>
      </c>
      <c r="B279" s="222"/>
      <c r="C279" s="222"/>
      <c r="D279" s="240"/>
      <c r="E279" s="241"/>
      <c r="F279" s="241"/>
      <c r="G279" s="241"/>
      <c r="H279" s="241"/>
      <c r="I279" s="241"/>
      <c r="J279" s="241"/>
    </row>
    <row r="280" spans="1:10" x14ac:dyDescent="0.2">
      <c r="A280" s="222"/>
      <c r="B280" s="222" t="s">
        <v>384</v>
      </c>
      <c r="C280" s="222"/>
      <c r="D280" s="238"/>
      <c r="E280" s="231">
        <f t="shared" ref="E280:J280" si="48">E68</f>
        <v>142446.25</v>
      </c>
      <c r="F280" s="231">
        <f t="shared" si="48"/>
        <v>154400</v>
      </c>
      <c r="G280" s="231">
        <f t="shared" si="48"/>
        <v>152500</v>
      </c>
      <c r="H280" s="231">
        <f t="shared" si="48"/>
        <v>157600</v>
      </c>
      <c r="I280" s="231">
        <f t="shared" si="48"/>
        <v>157600</v>
      </c>
      <c r="J280" s="231">
        <f t="shared" si="48"/>
        <v>157600</v>
      </c>
    </row>
    <row r="281" spans="1:10" x14ac:dyDescent="0.2">
      <c r="A281" s="222"/>
      <c r="B281" s="222" t="s">
        <v>58</v>
      </c>
      <c r="C281" s="222"/>
      <c r="D281" s="240"/>
      <c r="E281" s="231">
        <f t="shared" ref="E281:J281" si="49">E139</f>
        <v>492388.68</v>
      </c>
      <c r="F281" s="231">
        <f t="shared" si="49"/>
        <v>512100</v>
      </c>
      <c r="G281" s="231">
        <f t="shared" si="49"/>
        <v>516500</v>
      </c>
      <c r="H281" s="231">
        <f t="shared" si="49"/>
        <v>517800</v>
      </c>
      <c r="I281" s="231">
        <f t="shared" si="49"/>
        <v>517800</v>
      </c>
      <c r="J281" s="231">
        <f t="shared" si="49"/>
        <v>517800</v>
      </c>
    </row>
    <row r="282" spans="1:10" x14ac:dyDescent="0.2">
      <c r="A282" s="222"/>
      <c r="B282" s="222" t="s">
        <v>90</v>
      </c>
      <c r="C282" s="222"/>
      <c r="D282" s="238"/>
      <c r="E282" s="234">
        <f t="shared" ref="E282:J282" si="50">E221</f>
        <v>16085.48</v>
      </c>
      <c r="F282" s="234">
        <f t="shared" si="50"/>
        <v>16100</v>
      </c>
      <c r="G282" s="234">
        <f t="shared" si="50"/>
        <v>19700</v>
      </c>
      <c r="H282" s="234">
        <f t="shared" si="50"/>
        <v>21900</v>
      </c>
      <c r="I282" s="234">
        <f t="shared" si="50"/>
        <v>21900</v>
      </c>
      <c r="J282" s="234">
        <f t="shared" si="50"/>
        <v>21900</v>
      </c>
    </row>
    <row r="283" spans="1:10" ht="15" thickBot="1" x14ac:dyDescent="0.25">
      <c r="A283" s="222"/>
      <c r="B283" s="222"/>
      <c r="C283" s="229" t="s">
        <v>388</v>
      </c>
      <c r="D283" s="240"/>
      <c r="E283" s="236">
        <f t="shared" ref="E283:J283" si="51">SUM(E280:E282)</f>
        <v>650920.40999999992</v>
      </c>
      <c r="F283" s="236">
        <f t="shared" si="51"/>
        <v>682600</v>
      </c>
      <c r="G283" s="236">
        <f t="shared" si="51"/>
        <v>688700</v>
      </c>
      <c r="H283" s="236">
        <f t="shared" si="51"/>
        <v>697300</v>
      </c>
      <c r="I283" s="236">
        <f t="shared" si="51"/>
        <v>697300</v>
      </c>
      <c r="J283" s="236">
        <f t="shared" si="51"/>
        <v>697300</v>
      </c>
    </row>
    <row r="284" spans="1:10" x14ac:dyDescent="0.2">
      <c r="A284" s="240"/>
      <c r="B284" s="229"/>
      <c r="C284" s="222"/>
      <c r="D284" s="240"/>
      <c r="E284" s="242"/>
      <c r="F284" s="242"/>
      <c r="G284" s="242"/>
      <c r="H284" s="242"/>
      <c r="I284" s="242"/>
      <c r="J284" s="242"/>
    </row>
    <row r="285" spans="1:10" x14ac:dyDescent="0.2">
      <c r="A285" s="229" t="s">
        <v>198</v>
      </c>
      <c r="B285" s="222"/>
      <c r="C285" s="222"/>
      <c r="D285" s="240"/>
      <c r="E285" s="230"/>
      <c r="F285" s="230"/>
      <c r="G285" s="230"/>
      <c r="H285" s="230"/>
      <c r="I285" s="230"/>
      <c r="J285" s="230"/>
    </row>
    <row r="286" spans="1:10" x14ac:dyDescent="0.2">
      <c r="A286" s="222"/>
      <c r="B286" s="222" t="s">
        <v>384</v>
      </c>
      <c r="C286" s="222"/>
      <c r="D286" s="240"/>
      <c r="E286" s="231">
        <f t="shared" ref="E286:J286" si="52">E69</f>
        <v>0</v>
      </c>
      <c r="F286" s="231">
        <f t="shared" si="52"/>
        <v>0</v>
      </c>
      <c r="G286" s="231">
        <f t="shared" si="52"/>
        <v>0</v>
      </c>
      <c r="H286" s="231">
        <f t="shared" si="52"/>
        <v>0</v>
      </c>
      <c r="I286" s="231">
        <f t="shared" si="52"/>
        <v>0</v>
      </c>
      <c r="J286" s="231">
        <f t="shared" si="52"/>
        <v>0</v>
      </c>
    </row>
    <row r="287" spans="1:10" x14ac:dyDescent="0.2">
      <c r="A287" s="222"/>
      <c r="B287" s="222" t="s">
        <v>58</v>
      </c>
      <c r="C287" s="222"/>
      <c r="D287" s="240"/>
      <c r="E287" s="232">
        <f t="shared" ref="E287:J287" si="53">E140</f>
        <v>0</v>
      </c>
      <c r="F287" s="232">
        <f t="shared" si="53"/>
        <v>0</v>
      </c>
      <c r="G287" s="232">
        <f t="shared" si="53"/>
        <v>0</v>
      </c>
      <c r="H287" s="232">
        <f t="shared" si="53"/>
        <v>0</v>
      </c>
      <c r="I287" s="232">
        <f t="shared" si="53"/>
        <v>0</v>
      </c>
      <c r="J287" s="232">
        <f t="shared" si="53"/>
        <v>0</v>
      </c>
    </row>
    <row r="288" spans="1:10" x14ac:dyDescent="0.2">
      <c r="A288" s="222"/>
      <c r="B288" s="222" t="s">
        <v>90</v>
      </c>
      <c r="C288" s="222"/>
      <c r="D288" s="240"/>
      <c r="E288" s="234">
        <f t="shared" ref="E288:J288" si="54">E222</f>
        <v>0</v>
      </c>
      <c r="F288" s="234">
        <f t="shared" si="54"/>
        <v>0</v>
      </c>
      <c r="G288" s="234">
        <f t="shared" si="54"/>
        <v>0</v>
      </c>
      <c r="H288" s="234">
        <f t="shared" si="54"/>
        <v>0</v>
      </c>
      <c r="I288" s="234">
        <f t="shared" si="54"/>
        <v>0</v>
      </c>
      <c r="J288" s="234">
        <f t="shared" si="54"/>
        <v>0</v>
      </c>
    </row>
    <row r="289" spans="1:10" ht="15" thickBot="1" x14ac:dyDescent="0.25">
      <c r="A289" s="222"/>
      <c r="B289" s="222"/>
      <c r="C289" s="229" t="s">
        <v>389</v>
      </c>
      <c r="D289" s="240"/>
      <c r="E289" s="234">
        <f t="shared" ref="E289:J289" si="55">SUM(E286:E288)</f>
        <v>0</v>
      </c>
      <c r="F289" s="234">
        <f t="shared" si="55"/>
        <v>0</v>
      </c>
      <c r="G289" s="234">
        <f t="shared" si="55"/>
        <v>0</v>
      </c>
      <c r="H289" s="234">
        <f t="shared" si="55"/>
        <v>0</v>
      </c>
      <c r="I289" s="234">
        <f t="shared" si="55"/>
        <v>0</v>
      </c>
      <c r="J289" s="234">
        <f t="shared" si="55"/>
        <v>0</v>
      </c>
    </row>
    <row r="290" spans="1:10" x14ac:dyDescent="0.2">
      <c r="A290" s="240"/>
      <c r="B290" s="229"/>
      <c r="C290" s="222"/>
      <c r="D290" s="240"/>
      <c r="E290" s="227"/>
      <c r="F290" s="227"/>
      <c r="G290" s="227"/>
      <c r="H290" s="227"/>
      <c r="I290" s="227"/>
      <c r="J290" s="227"/>
    </row>
    <row r="291" spans="1:10" x14ac:dyDescent="0.2">
      <c r="A291" s="243" t="s">
        <v>296</v>
      </c>
      <c r="B291" s="229"/>
      <c r="C291" s="222"/>
      <c r="D291" s="240"/>
      <c r="E291" s="230"/>
      <c r="F291" s="230"/>
      <c r="G291" s="230"/>
      <c r="H291" s="230"/>
      <c r="I291" s="230"/>
      <c r="J291" s="230"/>
    </row>
    <row r="292" spans="1:10" x14ac:dyDescent="0.2">
      <c r="A292" s="233"/>
      <c r="B292" s="233" t="s">
        <v>384</v>
      </c>
      <c r="C292" s="222"/>
      <c r="D292" s="240"/>
      <c r="E292" s="231">
        <f t="shared" ref="E292:J292" si="56">E76</f>
        <v>166558.44999999998</v>
      </c>
      <c r="F292" s="231">
        <f t="shared" si="56"/>
        <v>167000</v>
      </c>
      <c r="G292" s="231">
        <f t="shared" si="56"/>
        <v>176400</v>
      </c>
      <c r="H292" s="231">
        <f t="shared" si="56"/>
        <v>167000</v>
      </c>
      <c r="I292" s="231">
        <f t="shared" si="56"/>
        <v>167000</v>
      </c>
      <c r="J292" s="231">
        <f t="shared" si="56"/>
        <v>167000</v>
      </c>
    </row>
    <row r="293" spans="1:10" x14ac:dyDescent="0.2">
      <c r="A293" s="222"/>
      <c r="B293" s="222" t="s">
        <v>58</v>
      </c>
      <c r="C293" s="222"/>
      <c r="D293" s="240"/>
      <c r="E293" s="232">
        <f t="shared" ref="E293:J293" si="57">E156</f>
        <v>963871.23999999976</v>
      </c>
      <c r="F293" s="232">
        <f t="shared" si="57"/>
        <v>1078000</v>
      </c>
      <c r="G293" s="232">
        <f t="shared" si="57"/>
        <v>1079900</v>
      </c>
      <c r="H293" s="232">
        <f t="shared" si="57"/>
        <v>1096900</v>
      </c>
      <c r="I293" s="232">
        <f t="shared" si="57"/>
        <v>1061900</v>
      </c>
      <c r="J293" s="232">
        <f t="shared" si="57"/>
        <v>1061900</v>
      </c>
    </row>
    <row r="294" spans="1:10" x14ac:dyDescent="0.2">
      <c r="A294" s="233"/>
      <c r="B294" s="233" t="s">
        <v>90</v>
      </c>
      <c r="C294" s="222"/>
      <c r="D294" s="235"/>
      <c r="E294" s="234">
        <f t="shared" ref="E294:J294" si="58">E229</f>
        <v>15859.099999999999</v>
      </c>
      <c r="F294" s="234">
        <f t="shared" si="58"/>
        <v>28400</v>
      </c>
      <c r="G294" s="234">
        <f t="shared" si="58"/>
        <v>28800</v>
      </c>
      <c r="H294" s="234">
        <f t="shared" si="58"/>
        <v>28400</v>
      </c>
      <c r="I294" s="234">
        <f t="shared" si="58"/>
        <v>28400</v>
      </c>
      <c r="J294" s="234">
        <f t="shared" si="58"/>
        <v>28400</v>
      </c>
    </row>
    <row r="295" spans="1:10" ht="15" thickBot="1" x14ac:dyDescent="0.25">
      <c r="A295" s="222"/>
      <c r="B295" s="222"/>
      <c r="C295" s="222" t="s">
        <v>390</v>
      </c>
      <c r="D295" s="235"/>
      <c r="E295" s="236">
        <f t="shared" ref="E295:J295" si="59">SUM(E292:E294)</f>
        <v>1146288.7899999998</v>
      </c>
      <c r="F295" s="236">
        <f t="shared" si="59"/>
        <v>1273400</v>
      </c>
      <c r="G295" s="236">
        <f t="shared" si="59"/>
        <v>1285100</v>
      </c>
      <c r="H295" s="236">
        <f t="shared" si="59"/>
        <v>1292300</v>
      </c>
      <c r="I295" s="236">
        <f t="shared" si="59"/>
        <v>1257300</v>
      </c>
      <c r="J295" s="236">
        <f t="shared" si="59"/>
        <v>1257300</v>
      </c>
    </row>
    <row r="296" spans="1:10" x14ac:dyDescent="0.2">
      <c r="A296" s="222"/>
      <c r="B296" s="222"/>
      <c r="C296" s="222"/>
      <c r="D296" s="240"/>
      <c r="E296" s="227"/>
      <c r="F296" s="227"/>
      <c r="G296" s="227"/>
      <c r="H296" s="227"/>
      <c r="I296" s="227"/>
      <c r="J296" s="227"/>
    </row>
    <row r="297" spans="1:10" x14ac:dyDescent="0.2">
      <c r="A297" s="244" t="s">
        <v>15</v>
      </c>
      <c r="B297" s="222"/>
      <c r="C297" s="222"/>
      <c r="D297" s="222"/>
      <c r="E297" s="222"/>
      <c r="F297" s="222"/>
      <c r="G297" s="222"/>
      <c r="H297" s="222"/>
      <c r="I297" s="222"/>
      <c r="J297" s="222"/>
    </row>
    <row r="298" spans="1:10" x14ac:dyDescent="0.2">
      <c r="A298" s="233"/>
      <c r="B298" s="233" t="s">
        <v>384</v>
      </c>
      <c r="C298" s="233"/>
      <c r="D298" s="222"/>
      <c r="E298" s="231">
        <f t="shared" ref="E298:J298" si="60">E84</f>
        <v>0</v>
      </c>
      <c r="F298" s="231">
        <f t="shared" si="60"/>
        <v>0</v>
      </c>
      <c r="G298" s="231">
        <f t="shared" si="60"/>
        <v>0</v>
      </c>
      <c r="H298" s="231">
        <f t="shared" si="60"/>
        <v>0</v>
      </c>
      <c r="I298" s="231">
        <f t="shared" si="60"/>
        <v>0</v>
      </c>
      <c r="J298" s="231">
        <f t="shared" si="60"/>
        <v>0</v>
      </c>
    </row>
    <row r="299" spans="1:10" x14ac:dyDescent="0.2">
      <c r="A299" s="233"/>
      <c r="B299" s="233" t="s">
        <v>58</v>
      </c>
      <c r="C299" s="233"/>
      <c r="D299" s="222"/>
      <c r="E299" s="232">
        <f t="shared" ref="E299:J299" si="61">E164</f>
        <v>0</v>
      </c>
      <c r="F299" s="232">
        <f t="shared" si="61"/>
        <v>0</v>
      </c>
      <c r="G299" s="232">
        <f t="shared" si="61"/>
        <v>0</v>
      </c>
      <c r="H299" s="232">
        <f t="shared" si="61"/>
        <v>0</v>
      </c>
      <c r="I299" s="232">
        <f t="shared" si="61"/>
        <v>0</v>
      </c>
      <c r="J299" s="232">
        <f t="shared" si="61"/>
        <v>0</v>
      </c>
    </row>
    <row r="300" spans="1:10" x14ac:dyDescent="0.2">
      <c r="A300" s="233"/>
      <c r="B300" s="233" t="s">
        <v>90</v>
      </c>
      <c r="C300" s="233"/>
      <c r="D300" s="222"/>
      <c r="E300" s="234">
        <f t="shared" ref="E300:J300" si="62">E237</f>
        <v>0</v>
      </c>
      <c r="F300" s="234">
        <f t="shared" si="62"/>
        <v>0</v>
      </c>
      <c r="G300" s="234">
        <f t="shared" si="62"/>
        <v>0</v>
      </c>
      <c r="H300" s="234">
        <f t="shared" si="62"/>
        <v>0</v>
      </c>
      <c r="I300" s="234">
        <f t="shared" si="62"/>
        <v>0</v>
      </c>
      <c r="J300" s="234">
        <f t="shared" si="62"/>
        <v>0</v>
      </c>
    </row>
    <row r="301" spans="1:10" ht="15" thickBot="1" x14ac:dyDescent="0.25">
      <c r="A301" s="243"/>
      <c r="B301" s="243" t="s">
        <v>69</v>
      </c>
      <c r="C301" s="240"/>
      <c r="D301" s="222"/>
      <c r="E301" s="236">
        <f t="shared" ref="E301:J301" si="63">SUM(E298:E300)</f>
        <v>0</v>
      </c>
      <c r="F301" s="236">
        <f t="shared" si="63"/>
        <v>0</v>
      </c>
      <c r="G301" s="236">
        <f t="shared" si="63"/>
        <v>0</v>
      </c>
      <c r="H301" s="236">
        <f t="shared" si="63"/>
        <v>0</v>
      </c>
      <c r="I301" s="236">
        <f t="shared" si="63"/>
        <v>0</v>
      </c>
      <c r="J301" s="236">
        <f t="shared" si="63"/>
        <v>0</v>
      </c>
    </row>
    <row r="302" spans="1:10" x14ac:dyDescent="0.2">
      <c r="A302" s="222"/>
      <c r="B302" s="222"/>
      <c r="C302" s="222"/>
      <c r="D302" s="222"/>
      <c r="E302" s="227"/>
      <c r="F302" s="227"/>
      <c r="G302" s="227"/>
      <c r="H302" s="227"/>
      <c r="I302" s="227"/>
      <c r="J302" s="227"/>
    </row>
    <row r="303" spans="1:10" ht="15" thickBot="1" x14ac:dyDescent="0.25">
      <c r="A303" s="222"/>
      <c r="B303" s="222"/>
      <c r="C303" s="222"/>
      <c r="D303" s="222"/>
      <c r="E303" s="240"/>
      <c r="F303" s="240" t="s">
        <v>391</v>
      </c>
      <c r="G303" s="240"/>
      <c r="H303" s="240"/>
      <c r="I303" s="245"/>
      <c r="J303" s="245"/>
    </row>
    <row r="304" spans="1:10" ht="15" thickTop="1" x14ac:dyDescent="0.2">
      <c r="A304" s="246"/>
      <c r="B304" s="246"/>
      <c r="C304" s="246"/>
      <c r="D304" s="246"/>
      <c r="E304" s="246"/>
      <c r="F304" s="246"/>
      <c r="G304" s="246"/>
      <c r="H304" s="246"/>
      <c r="I304" s="246"/>
      <c r="J304" s="246"/>
    </row>
    <row r="305" spans="1:10" x14ac:dyDescent="0.2">
      <c r="A305" s="247"/>
      <c r="B305" s="247">
        <v>210</v>
      </c>
      <c r="C305" s="222" t="s">
        <v>7</v>
      </c>
      <c r="D305" s="222"/>
      <c r="E305" s="231">
        <f t="shared" ref="E305:J320" si="64">SUMIF($A$48:$A$972,$B305,E$48:E$972)</f>
        <v>3719954.33</v>
      </c>
      <c r="F305" s="231">
        <f t="shared" si="64"/>
        <v>4095200</v>
      </c>
      <c r="G305" s="231">
        <f t="shared" si="64"/>
        <v>3970300</v>
      </c>
      <c r="H305" s="231">
        <f t="shared" si="64"/>
        <v>4277100</v>
      </c>
      <c r="I305" s="231">
        <f t="shared" si="64"/>
        <v>4386000</v>
      </c>
      <c r="J305" s="231">
        <f t="shared" si="64"/>
        <v>4493500</v>
      </c>
    </row>
    <row r="306" spans="1:10" x14ac:dyDescent="0.2">
      <c r="A306" s="247"/>
      <c r="B306" s="247">
        <v>212</v>
      </c>
      <c r="C306" s="222" t="s">
        <v>9</v>
      </c>
      <c r="D306" s="222"/>
      <c r="E306" s="231">
        <f t="shared" si="64"/>
        <v>0</v>
      </c>
      <c r="F306" s="231">
        <f t="shared" si="64"/>
        <v>0</v>
      </c>
      <c r="G306" s="231">
        <f t="shared" si="64"/>
        <v>0</v>
      </c>
      <c r="H306" s="231">
        <f t="shared" si="64"/>
        <v>0</v>
      </c>
      <c r="I306" s="231">
        <f t="shared" si="64"/>
        <v>0</v>
      </c>
      <c r="J306" s="231">
        <f t="shared" si="64"/>
        <v>0</v>
      </c>
    </row>
    <row r="307" spans="1:10" x14ac:dyDescent="0.2">
      <c r="A307" s="247"/>
      <c r="B307" s="247">
        <v>213</v>
      </c>
      <c r="C307" s="222" t="s">
        <v>201</v>
      </c>
      <c r="D307" s="222"/>
      <c r="E307" s="231">
        <f t="shared" si="64"/>
        <v>0</v>
      </c>
      <c r="F307" s="231">
        <f t="shared" si="64"/>
        <v>0</v>
      </c>
      <c r="G307" s="231">
        <f t="shared" si="64"/>
        <v>0</v>
      </c>
      <c r="H307" s="231">
        <f t="shared" si="64"/>
        <v>0</v>
      </c>
      <c r="I307" s="231">
        <f t="shared" si="64"/>
        <v>0</v>
      </c>
      <c r="J307" s="231">
        <f t="shared" si="64"/>
        <v>0</v>
      </c>
    </row>
    <row r="308" spans="1:10" x14ac:dyDescent="0.2">
      <c r="A308" s="247"/>
      <c r="B308" s="247">
        <v>216</v>
      </c>
      <c r="C308" s="222" t="s">
        <v>10</v>
      </c>
      <c r="D308" s="222"/>
      <c r="E308" s="231">
        <f t="shared" si="64"/>
        <v>650920.40999999992</v>
      </c>
      <c r="F308" s="231">
        <f t="shared" si="64"/>
        <v>682600</v>
      </c>
      <c r="G308" s="231">
        <f t="shared" si="64"/>
        <v>688700</v>
      </c>
      <c r="H308" s="231">
        <f t="shared" si="64"/>
        <v>697300</v>
      </c>
      <c r="I308" s="231">
        <f t="shared" si="64"/>
        <v>697300</v>
      </c>
      <c r="J308" s="231">
        <f t="shared" si="64"/>
        <v>697300</v>
      </c>
    </row>
    <row r="309" spans="1:10" x14ac:dyDescent="0.2">
      <c r="A309" s="247"/>
      <c r="B309" s="247">
        <v>218</v>
      </c>
      <c r="C309" s="222" t="s">
        <v>202</v>
      </c>
      <c r="D309" s="222"/>
      <c r="E309" s="231">
        <f t="shared" si="64"/>
        <v>0</v>
      </c>
      <c r="F309" s="231">
        <f t="shared" si="64"/>
        <v>0</v>
      </c>
      <c r="G309" s="231">
        <f t="shared" si="64"/>
        <v>0</v>
      </c>
      <c r="H309" s="231">
        <f t="shared" si="64"/>
        <v>0</v>
      </c>
      <c r="I309" s="231">
        <f t="shared" si="64"/>
        <v>0</v>
      </c>
      <c r="J309" s="231">
        <f t="shared" si="64"/>
        <v>0</v>
      </c>
    </row>
    <row r="310" spans="1:10" x14ac:dyDescent="0.2">
      <c r="A310" s="247"/>
      <c r="B310" s="247">
        <v>219</v>
      </c>
      <c r="C310" s="222" t="s">
        <v>203</v>
      </c>
      <c r="D310" s="222"/>
      <c r="E310" s="231">
        <f t="shared" si="64"/>
        <v>0</v>
      </c>
      <c r="F310" s="231">
        <f t="shared" si="64"/>
        <v>0</v>
      </c>
      <c r="G310" s="231">
        <f t="shared" si="64"/>
        <v>0</v>
      </c>
      <c r="H310" s="231">
        <f t="shared" si="64"/>
        <v>0</v>
      </c>
      <c r="I310" s="231">
        <f t="shared" si="64"/>
        <v>0</v>
      </c>
      <c r="J310" s="231">
        <f t="shared" si="64"/>
        <v>0</v>
      </c>
    </row>
    <row r="311" spans="1:10" x14ac:dyDescent="0.2">
      <c r="A311" s="247"/>
      <c r="B311" s="247">
        <v>220</v>
      </c>
      <c r="C311" s="222" t="s">
        <v>204</v>
      </c>
      <c r="D311" s="222"/>
      <c r="E311" s="231">
        <f t="shared" si="64"/>
        <v>0</v>
      </c>
      <c r="F311" s="231">
        <f t="shared" si="64"/>
        <v>0</v>
      </c>
      <c r="G311" s="231">
        <f t="shared" si="64"/>
        <v>0</v>
      </c>
      <c r="H311" s="231">
        <f t="shared" si="64"/>
        <v>0</v>
      </c>
      <c r="I311" s="231">
        <f t="shared" si="64"/>
        <v>0</v>
      </c>
      <c r="J311" s="231">
        <f t="shared" si="64"/>
        <v>0</v>
      </c>
    </row>
    <row r="312" spans="1:10" x14ac:dyDescent="0.2">
      <c r="A312" s="247"/>
      <c r="B312" s="247">
        <v>222</v>
      </c>
      <c r="C312" s="222" t="s">
        <v>205</v>
      </c>
      <c r="D312" s="222"/>
      <c r="E312" s="231">
        <f t="shared" si="64"/>
        <v>73614.540000000008</v>
      </c>
      <c r="F312" s="231">
        <f t="shared" si="64"/>
        <v>68000</v>
      </c>
      <c r="G312" s="231">
        <f t="shared" si="64"/>
        <v>51600</v>
      </c>
      <c r="H312" s="231">
        <f t="shared" si="64"/>
        <v>63000</v>
      </c>
      <c r="I312" s="231">
        <f t="shared" si="64"/>
        <v>63000</v>
      </c>
      <c r="J312" s="231">
        <f t="shared" si="64"/>
        <v>63000</v>
      </c>
    </row>
    <row r="313" spans="1:10" x14ac:dyDescent="0.2">
      <c r="A313" s="247"/>
      <c r="B313" s="247">
        <v>224</v>
      </c>
      <c r="C313" s="222" t="s">
        <v>206</v>
      </c>
      <c r="D313" s="222"/>
      <c r="E313" s="231">
        <f t="shared" si="64"/>
        <v>197538.29</v>
      </c>
      <c r="F313" s="231">
        <f t="shared" si="64"/>
        <v>233000</v>
      </c>
      <c r="G313" s="231">
        <f t="shared" si="64"/>
        <v>233000</v>
      </c>
      <c r="H313" s="231">
        <f t="shared" si="64"/>
        <v>200000</v>
      </c>
      <c r="I313" s="231">
        <f t="shared" si="64"/>
        <v>200000</v>
      </c>
      <c r="J313" s="231">
        <f t="shared" si="64"/>
        <v>200000</v>
      </c>
    </row>
    <row r="314" spans="1:10" x14ac:dyDescent="0.2">
      <c r="A314" s="247"/>
      <c r="B314" s="247">
        <v>226</v>
      </c>
      <c r="C314" s="222" t="s">
        <v>207</v>
      </c>
      <c r="D314" s="222"/>
      <c r="E314" s="231">
        <f t="shared" si="64"/>
        <v>71318.319999999992</v>
      </c>
      <c r="F314" s="231">
        <f t="shared" si="64"/>
        <v>80000</v>
      </c>
      <c r="G314" s="231">
        <f t="shared" si="64"/>
        <v>81200</v>
      </c>
      <c r="H314" s="231">
        <f t="shared" si="64"/>
        <v>75000</v>
      </c>
      <c r="I314" s="231">
        <f t="shared" si="64"/>
        <v>75000</v>
      </c>
      <c r="J314" s="231">
        <f t="shared" si="64"/>
        <v>75000</v>
      </c>
    </row>
    <row r="315" spans="1:10" x14ac:dyDescent="0.2">
      <c r="A315" s="247"/>
      <c r="B315" s="247">
        <v>228</v>
      </c>
      <c r="C315" s="222" t="s">
        <v>208</v>
      </c>
      <c r="D315" s="222"/>
      <c r="E315" s="231">
        <f t="shared" si="64"/>
        <v>31857.050000000003</v>
      </c>
      <c r="F315" s="231">
        <f t="shared" si="64"/>
        <v>32000</v>
      </c>
      <c r="G315" s="231">
        <f t="shared" si="64"/>
        <v>32000</v>
      </c>
      <c r="H315" s="231">
        <f t="shared" si="64"/>
        <v>32000</v>
      </c>
      <c r="I315" s="231">
        <f t="shared" si="64"/>
        <v>32000</v>
      </c>
      <c r="J315" s="231">
        <f t="shared" si="64"/>
        <v>32000</v>
      </c>
    </row>
    <row r="316" spans="1:10" x14ac:dyDescent="0.2">
      <c r="A316" s="247"/>
      <c r="B316" s="247">
        <v>229</v>
      </c>
      <c r="C316" s="222" t="s">
        <v>209</v>
      </c>
      <c r="D316" s="222"/>
      <c r="E316" s="231">
        <f t="shared" si="64"/>
        <v>19636.82</v>
      </c>
      <c r="F316" s="231">
        <f t="shared" si="64"/>
        <v>20000</v>
      </c>
      <c r="G316" s="231">
        <f t="shared" si="64"/>
        <v>20000</v>
      </c>
      <c r="H316" s="231">
        <f t="shared" si="64"/>
        <v>80000</v>
      </c>
      <c r="I316" s="231">
        <f t="shared" si="64"/>
        <v>45000</v>
      </c>
      <c r="J316" s="231">
        <f t="shared" si="64"/>
        <v>45000</v>
      </c>
    </row>
    <row r="317" spans="1:10" x14ac:dyDescent="0.2">
      <c r="A317" s="247"/>
      <c r="B317" s="247">
        <v>230</v>
      </c>
      <c r="C317" s="222" t="s">
        <v>210</v>
      </c>
      <c r="D317" s="222"/>
      <c r="E317" s="231">
        <f t="shared" si="64"/>
        <v>114829.68</v>
      </c>
      <c r="F317" s="231">
        <f t="shared" si="64"/>
        <v>115000</v>
      </c>
      <c r="G317" s="231">
        <f t="shared" si="64"/>
        <v>116600</v>
      </c>
      <c r="H317" s="231">
        <f t="shared" si="64"/>
        <v>120000</v>
      </c>
      <c r="I317" s="231">
        <f t="shared" si="64"/>
        <v>120000</v>
      </c>
      <c r="J317" s="231">
        <f t="shared" si="64"/>
        <v>120000</v>
      </c>
    </row>
    <row r="318" spans="1:10" x14ac:dyDescent="0.2">
      <c r="A318" s="247"/>
      <c r="B318" s="247">
        <v>232</v>
      </c>
      <c r="C318" s="222" t="s">
        <v>211</v>
      </c>
      <c r="D318" s="222"/>
      <c r="E318" s="231">
        <f t="shared" si="64"/>
        <v>325031.18</v>
      </c>
      <c r="F318" s="231">
        <f t="shared" si="64"/>
        <v>335000</v>
      </c>
      <c r="G318" s="231">
        <f t="shared" si="64"/>
        <v>348400</v>
      </c>
      <c r="H318" s="231">
        <f t="shared" si="64"/>
        <v>335000</v>
      </c>
      <c r="I318" s="231">
        <f t="shared" si="64"/>
        <v>335000</v>
      </c>
      <c r="J318" s="231">
        <f t="shared" si="64"/>
        <v>335000</v>
      </c>
    </row>
    <row r="319" spans="1:10" x14ac:dyDescent="0.2">
      <c r="A319" s="247"/>
      <c r="B319" s="247">
        <v>234</v>
      </c>
      <c r="C319" s="222" t="s">
        <v>212</v>
      </c>
      <c r="D319" s="222"/>
      <c r="E319" s="231">
        <f t="shared" si="64"/>
        <v>0</v>
      </c>
      <c r="F319" s="231">
        <f t="shared" si="64"/>
        <v>0</v>
      </c>
      <c r="G319" s="231">
        <f t="shared" si="64"/>
        <v>0</v>
      </c>
      <c r="H319" s="231">
        <f t="shared" si="64"/>
        <v>0</v>
      </c>
      <c r="I319" s="231">
        <f t="shared" si="64"/>
        <v>0</v>
      </c>
      <c r="J319" s="231">
        <f t="shared" si="64"/>
        <v>0</v>
      </c>
    </row>
    <row r="320" spans="1:10" x14ac:dyDescent="0.2">
      <c r="A320" s="247"/>
      <c r="B320" s="247">
        <v>236</v>
      </c>
      <c r="C320" s="222" t="s">
        <v>213</v>
      </c>
      <c r="D320" s="222"/>
      <c r="E320" s="231">
        <f t="shared" si="64"/>
        <v>15725.95</v>
      </c>
      <c r="F320" s="231">
        <f t="shared" si="64"/>
        <v>21000</v>
      </c>
      <c r="G320" s="231">
        <f t="shared" si="64"/>
        <v>21000</v>
      </c>
      <c r="H320" s="231">
        <f t="shared" si="64"/>
        <v>21000</v>
      </c>
      <c r="I320" s="231">
        <f t="shared" si="64"/>
        <v>21000</v>
      </c>
      <c r="J320" s="231">
        <f t="shared" si="64"/>
        <v>21000</v>
      </c>
    </row>
    <row r="321" spans="1:10" x14ac:dyDescent="0.2">
      <c r="A321" s="247"/>
      <c r="B321" s="247">
        <v>238</v>
      </c>
      <c r="C321" s="222" t="s">
        <v>214</v>
      </c>
      <c r="D321" s="222"/>
      <c r="E321" s="231">
        <f t="shared" ref="E321:J336" si="65">SUMIF($A$48:$A$972,$B321,E$48:E$972)</f>
        <v>9999.49</v>
      </c>
      <c r="F321" s="231">
        <f t="shared" si="65"/>
        <v>10000</v>
      </c>
      <c r="G321" s="231">
        <f t="shared" si="65"/>
        <v>10400</v>
      </c>
      <c r="H321" s="231">
        <f t="shared" si="65"/>
        <v>10000</v>
      </c>
      <c r="I321" s="231">
        <f t="shared" si="65"/>
        <v>10000</v>
      </c>
      <c r="J321" s="231">
        <f t="shared" si="65"/>
        <v>10000</v>
      </c>
    </row>
    <row r="322" spans="1:10" x14ac:dyDescent="0.2">
      <c r="A322" s="247"/>
      <c r="B322" s="247">
        <v>240</v>
      </c>
      <c r="C322" s="222" t="s">
        <v>215</v>
      </c>
      <c r="D322" s="222"/>
      <c r="E322" s="231">
        <f t="shared" si="65"/>
        <v>0</v>
      </c>
      <c r="F322" s="231">
        <f t="shared" si="65"/>
        <v>0</v>
      </c>
      <c r="G322" s="231">
        <f t="shared" si="65"/>
        <v>0</v>
      </c>
      <c r="H322" s="231">
        <f t="shared" si="65"/>
        <v>0</v>
      </c>
      <c r="I322" s="231">
        <f t="shared" si="65"/>
        <v>0</v>
      </c>
      <c r="J322" s="231">
        <f t="shared" si="65"/>
        <v>0</v>
      </c>
    </row>
    <row r="323" spans="1:10" x14ac:dyDescent="0.2">
      <c r="A323" s="247"/>
      <c r="B323" s="247">
        <v>242</v>
      </c>
      <c r="C323" s="222" t="s">
        <v>216</v>
      </c>
      <c r="D323" s="222"/>
      <c r="E323" s="231">
        <f t="shared" si="65"/>
        <v>78056.509999999995</v>
      </c>
      <c r="F323" s="231">
        <f t="shared" si="65"/>
        <v>110000</v>
      </c>
      <c r="G323" s="231">
        <f t="shared" si="65"/>
        <v>116100</v>
      </c>
      <c r="H323" s="231">
        <f t="shared" si="65"/>
        <v>110000</v>
      </c>
      <c r="I323" s="231">
        <f t="shared" si="65"/>
        <v>110000</v>
      </c>
      <c r="J323" s="231">
        <f t="shared" si="65"/>
        <v>110000</v>
      </c>
    </row>
    <row r="324" spans="1:10" x14ac:dyDescent="0.2">
      <c r="A324" s="247"/>
      <c r="B324" s="247">
        <v>244</v>
      </c>
      <c r="C324" s="222" t="s">
        <v>217</v>
      </c>
      <c r="D324" s="222"/>
      <c r="E324" s="231">
        <f t="shared" si="65"/>
        <v>0</v>
      </c>
      <c r="F324" s="231">
        <f t="shared" si="65"/>
        <v>0</v>
      </c>
      <c r="G324" s="231">
        <f t="shared" si="65"/>
        <v>0</v>
      </c>
      <c r="H324" s="231">
        <f t="shared" si="65"/>
        <v>0</v>
      </c>
      <c r="I324" s="231">
        <f t="shared" si="65"/>
        <v>0</v>
      </c>
      <c r="J324" s="231">
        <f t="shared" si="65"/>
        <v>0</v>
      </c>
    </row>
    <row r="325" spans="1:10" x14ac:dyDescent="0.2">
      <c r="A325" s="247"/>
      <c r="B325" s="247">
        <v>246</v>
      </c>
      <c r="C325" s="222" t="s">
        <v>218</v>
      </c>
      <c r="D325" s="222"/>
      <c r="E325" s="231">
        <f t="shared" si="65"/>
        <v>8137.2</v>
      </c>
      <c r="F325" s="231">
        <f t="shared" si="65"/>
        <v>10000</v>
      </c>
      <c r="G325" s="231">
        <f t="shared" si="65"/>
        <v>15000</v>
      </c>
      <c r="H325" s="231">
        <f t="shared" si="65"/>
        <v>10000</v>
      </c>
      <c r="I325" s="231">
        <f t="shared" si="65"/>
        <v>10000</v>
      </c>
      <c r="J325" s="231">
        <f t="shared" si="65"/>
        <v>10000</v>
      </c>
    </row>
    <row r="326" spans="1:10" x14ac:dyDescent="0.2">
      <c r="A326" s="247"/>
      <c r="B326" s="247">
        <v>247</v>
      </c>
      <c r="C326" s="222" t="s">
        <v>219</v>
      </c>
      <c r="D326" s="222"/>
      <c r="E326" s="231">
        <f t="shared" si="65"/>
        <v>0</v>
      </c>
      <c r="F326" s="231">
        <f t="shared" si="65"/>
        <v>0</v>
      </c>
      <c r="G326" s="231">
        <f t="shared" si="65"/>
        <v>0</v>
      </c>
      <c r="H326" s="231">
        <f t="shared" si="65"/>
        <v>0</v>
      </c>
      <c r="I326" s="231">
        <f t="shared" si="65"/>
        <v>0</v>
      </c>
      <c r="J326" s="231">
        <f t="shared" si="65"/>
        <v>0</v>
      </c>
    </row>
    <row r="327" spans="1:10" x14ac:dyDescent="0.2">
      <c r="A327" s="247"/>
      <c r="B327" s="247">
        <v>260</v>
      </c>
      <c r="C327" s="222" t="s">
        <v>220</v>
      </c>
      <c r="D327" s="222"/>
      <c r="E327" s="231">
        <f t="shared" si="65"/>
        <v>175307.78999999998</v>
      </c>
      <c r="F327" s="231">
        <f t="shared" si="65"/>
        <v>180000</v>
      </c>
      <c r="G327" s="231">
        <f t="shared" si="65"/>
        <v>180000</v>
      </c>
      <c r="H327" s="231">
        <f t="shared" si="65"/>
        <v>176900</v>
      </c>
      <c r="I327" s="231">
        <f t="shared" si="65"/>
        <v>176900</v>
      </c>
      <c r="J327" s="231">
        <f t="shared" si="65"/>
        <v>176900</v>
      </c>
    </row>
    <row r="328" spans="1:10" x14ac:dyDescent="0.2">
      <c r="A328" s="247"/>
      <c r="B328" s="247">
        <v>261</v>
      </c>
      <c r="C328" s="222" t="s">
        <v>221</v>
      </c>
      <c r="D328" s="222"/>
      <c r="E328" s="231">
        <f t="shared" si="65"/>
        <v>0</v>
      </c>
      <c r="F328" s="231">
        <f t="shared" si="65"/>
        <v>0</v>
      </c>
      <c r="G328" s="231">
        <f t="shared" si="65"/>
        <v>0</v>
      </c>
      <c r="H328" s="231">
        <f t="shared" si="65"/>
        <v>0</v>
      </c>
      <c r="I328" s="231">
        <f t="shared" si="65"/>
        <v>0</v>
      </c>
      <c r="J328" s="231">
        <f t="shared" si="65"/>
        <v>0</v>
      </c>
    </row>
    <row r="329" spans="1:10" x14ac:dyDescent="0.2">
      <c r="A329" s="247"/>
      <c r="B329" s="247">
        <v>265</v>
      </c>
      <c r="C329" s="222" t="s">
        <v>222</v>
      </c>
      <c r="D329" s="222"/>
      <c r="E329" s="231">
        <f t="shared" si="65"/>
        <v>0</v>
      </c>
      <c r="F329" s="231">
        <f t="shared" si="65"/>
        <v>0</v>
      </c>
      <c r="G329" s="231">
        <f t="shared" si="65"/>
        <v>0</v>
      </c>
      <c r="H329" s="231">
        <f t="shared" si="65"/>
        <v>0</v>
      </c>
      <c r="I329" s="231">
        <f t="shared" si="65"/>
        <v>0</v>
      </c>
      <c r="J329" s="231">
        <f t="shared" si="65"/>
        <v>0</v>
      </c>
    </row>
    <row r="330" spans="1:10" x14ac:dyDescent="0.2">
      <c r="A330" s="247"/>
      <c r="B330" s="247">
        <v>266</v>
      </c>
      <c r="C330" s="222" t="s">
        <v>223</v>
      </c>
      <c r="D330" s="222"/>
      <c r="E330" s="231">
        <f t="shared" si="65"/>
        <v>0</v>
      </c>
      <c r="F330" s="231">
        <f t="shared" si="65"/>
        <v>0</v>
      </c>
      <c r="G330" s="231">
        <f t="shared" si="65"/>
        <v>0</v>
      </c>
      <c r="H330" s="231">
        <f t="shared" si="65"/>
        <v>0</v>
      </c>
      <c r="I330" s="231">
        <f t="shared" si="65"/>
        <v>0</v>
      </c>
      <c r="J330" s="231">
        <f t="shared" si="65"/>
        <v>0</v>
      </c>
    </row>
    <row r="331" spans="1:10" x14ac:dyDescent="0.2">
      <c r="A331" s="247"/>
      <c r="B331" s="247">
        <v>270</v>
      </c>
      <c r="C331" s="222" t="s">
        <v>224</v>
      </c>
      <c r="D331" s="222"/>
      <c r="E331" s="231">
        <f t="shared" si="65"/>
        <v>0</v>
      </c>
      <c r="F331" s="231">
        <f t="shared" si="65"/>
        <v>0</v>
      </c>
      <c r="G331" s="231">
        <f t="shared" si="65"/>
        <v>0</v>
      </c>
      <c r="H331" s="231">
        <f t="shared" si="65"/>
        <v>0</v>
      </c>
      <c r="I331" s="231">
        <f t="shared" si="65"/>
        <v>0</v>
      </c>
      <c r="J331" s="231">
        <f t="shared" si="65"/>
        <v>0</v>
      </c>
    </row>
    <row r="332" spans="1:10" x14ac:dyDescent="0.2">
      <c r="A332" s="247"/>
      <c r="B332" s="247">
        <v>272</v>
      </c>
      <c r="C332" s="222" t="s">
        <v>225</v>
      </c>
      <c r="D332" s="222"/>
      <c r="E332" s="231">
        <f t="shared" si="65"/>
        <v>0</v>
      </c>
      <c r="F332" s="231">
        <f t="shared" si="65"/>
        <v>0</v>
      </c>
      <c r="G332" s="231">
        <f t="shared" si="65"/>
        <v>0</v>
      </c>
      <c r="H332" s="231">
        <f t="shared" si="65"/>
        <v>0</v>
      </c>
      <c r="I332" s="231">
        <f t="shared" si="65"/>
        <v>0</v>
      </c>
      <c r="J332" s="231">
        <f t="shared" si="65"/>
        <v>0</v>
      </c>
    </row>
    <row r="333" spans="1:10" x14ac:dyDescent="0.2">
      <c r="A333" s="247"/>
      <c r="B333" s="247">
        <v>273</v>
      </c>
      <c r="C333" s="222" t="s">
        <v>226</v>
      </c>
      <c r="D333" s="222"/>
      <c r="E333" s="231">
        <f t="shared" si="65"/>
        <v>0</v>
      </c>
      <c r="F333" s="231">
        <f t="shared" si="65"/>
        <v>0</v>
      </c>
      <c r="G333" s="231">
        <f t="shared" si="65"/>
        <v>0</v>
      </c>
      <c r="H333" s="231">
        <f t="shared" si="65"/>
        <v>0</v>
      </c>
      <c r="I333" s="231">
        <f t="shared" si="65"/>
        <v>0</v>
      </c>
      <c r="J333" s="231">
        <f t="shared" si="65"/>
        <v>0</v>
      </c>
    </row>
    <row r="334" spans="1:10" x14ac:dyDescent="0.2">
      <c r="A334" s="247"/>
      <c r="B334" s="247">
        <v>274</v>
      </c>
      <c r="C334" s="222" t="s">
        <v>227</v>
      </c>
      <c r="D334" s="222"/>
      <c r="E334" s="231">
        <f t="shared" si="65"/>
        <v>0</v>
      </c>
      <c r="F334" s="231">
        <f t="shared" si="65"/>
        <v>0</v>
      </c>
      <c r="G334" s="231">
        <f t="shared" si="65"/>
        <v>0</v>
      </c>
      <c r="H334" s="231">
        <f t="shared" si="65"/>
        <v>0</v>
      </c>
      <c r="I334" s="231">
        <f t="shared" si="65"/>
        <v>0</v>
      </c>
      <c r="J334" s="231">
        <f t="shared" si="65"/>
        <v>0</v>
      </c>
    </row>
    <row r="335" spans="1:10" x14ac:dyDescent="0.2">
      <c r="A335" s="247"/>
      <c r="B335" s="247">
        <v>275</v>
      </c>
      <c r="C335" s="222" t="s">
        <v>228</v>
      </c>
      <c r="D335" s="222"/>
      <c r="E335" s="231">
        <f t="shared" si="65"/>
        <v>185</v>
      </c>
      <c r="F335" s="231">
        <f t="shared" si="65"/>
        <v>400</v>
      </c>
      <c r="G335" s="231">
        <f t="shared" si="65"/>
        <v>800</v>
      </c>
      <c r="H335" s="231">
        <f t="shared" si="65"/>
        <v>400</v>
      </c>
      <c r="I335" s="231">
        <f t="shared" si="65"/>
        <v>400</v>
      </c>
      <c r="J335" s="231">
        <f t="shared" si="65"/>
        <v>400</v>
      </c>
    </row>
    <row r="336" spans="1:10" x14ac:dyDescent="0.2">
      <c r="A336" s="247"/>
      <c r="B336" s="247">
        <v>276</v>
      </c>
      <c r="C336" s="222" t="s">
        <v>229</v>
      </c>
      <c r="D336" s="222"/>
      <c r="E336" s="231">
        <f t="shared" si="65"/>
        <v>0</v>
      </c>
      <c r="F336" s="231">
        <f t="shared" si="65"/>
        <v>0</v>
      </c>
      <c r="G336" s="231">
        <f t="shared" si="65"/>
        <v>0</v>
      </c>
      <c r="H336" s="231">
        <f t="shared" si="65"/>
        <v>0</v>
      </c>
      <c r="I336" s="231">
        <f t="shared" si="65"/>
        <v>0</v>
      </c>
      <c r="J336" s="231">
        <f t="shared" si="65"/>
        <v>0</v>
      </c>
    </row>
    <row r="337" spans="1:10" x14ac:dyDescent="0.2">
      <c r="A337" s="247"/>
      <c r="B337" s="247">
        <v>277</v>
      </c>
      <c r="C337" s="222" t="s">
        <v>230</v>
      </c>
      <c r="D337" s="222"/>
      <c r="E337" s="231">
        <f t="shared" ref="E337:J349" si="66">SUMIF($A$48:$A$972,$B337,E$48:E$972)</f>
        <v>0</v>
      </c>
      <c r="F337" s="231">
        <f t="shared" si="66"/>
        <v>0</v>
      </c>
      <c r="G337" s="231">
        <f t="shared" si="66"/>
        <v>0</v>
      </c>
      <c r="H337" s="231">
        <f t="shared" si="66"/>
        <v>0</v>
      </c>
      <c r="I337" s="231">
        <f t="shared" si="66"/>
        <v>0</v>
      </c>
      <c r="J337" s="231">
        <f t="shared" si="66"/>
        <v>0</v>
      </c>
    </row>
    <row r="338" spans="1:10" x14ac:dyDescent="0.2">
      <c r="A338" s="247"/>
      <c r="B338" s="247">
        <v>278</v>
      </c>
      <c r="C338" s="222" t="s">
        <v>231</v>
      </c>
      <c r="D338" s="222"/>
      <c r="E338" s="231">
        <f t="shared" si="66"/>
        <v>0</v>
      </c>
      <c r="F338" s="231">
        <f t="shared" si="66"/>
        <v>0</v>
      </c>
      <c r="G338" s="231">
        <f t="shared" si="66"/>
        <v>0</v>
      </c>
      <c r="H338" s="231">
        <f t="shared" si="66"/>
        <v>0</v>
      </c>
      <c r="I338" s="231">
        <f t="shared" si="66"/>
        <v>0</v>
      </c>
      <c r="J338" s="231">
        <f t="shared" si="66"/>
        <v>0</v>
      </c>
    </row>
    <row r="339" spans="1:10" x14ac:dyDescent="0.2">
      <c r="A339" s="247"/>
      <c r="B339" s="247">
        <v>279</v>
      </c>
      <c r="C339" s="222" t="s">
        <v>232</v>
      </c>
      <c r="D339" s="222"/>
      <c r="E339" s="231">
        <f t="shared" si="66"/>
        <v>0</v>
      </c>
      <c r="F339" s="231">
        <f t="shared" si="66"/>
        <v>0</v>
      </c>
      <c r="G339" s="231">
        <f t="shared" si="66"/>
        <v>0</v>
      </c>
      <c r="H339" s="231">
        <f t="shared" si="66"/>
        <v>0</v>
      </c>
      <c r="I339" s="231">
        <f t="shared" si="66"/>
        <v>0</v>
      </c>
      <c r="J339" s="231">
        <f t="shared" si="66"/>
        <v>0</v>
      </c>
    </row>
    <row r="340" spans="1:10" x14ac:dyDescent="0.2">
      <c r="A340" s="247"/>
      <c r="B340" s="247">
        <v>280</v>
      </c>
      <c r="C340" s="222" t="s">
        <v>233</v>
      </c>
      <c r="D340" s="222"/>
      <c r="E340" s="231">
        <f t="shared" si="66"/>
        <v>0</v>
      </c>
      <c r="F340" s="231">
        <f t="shared" si="66"/>
        <v>0</v>
      </c>
      <c r="G340" s="231">
        <f t="shared" si="66"/>
        <v>0</v>
      </c>
      <c r="H340" s="231">
        <f t="shared" si="66"/>
        <v>0</v>
      </c>
      <c r="I340" s="231">
        <f t="shared" si="66"/>
        <v>0</v>
      </c>
      <c r="J340" s="231">
        <f t="shared" si="66"/>
        <v>0</v>
      </c>
    </row>
    <row r="341" spans="1:10" x14ac:dyDescent="0.2">
      <c r="A341" s="247"/>
      <c r="B341" s="247">
        <v>281</v>
      </c>
      <c r="C341" s="222" t="s">
        <v>234</v>
      </c>
      <c r="D341" s="222"/>
      <c r="E341" s="231">
        <f t="shared" si="66"/>
        <v>0</v>
      </c>
      <c r="F341" s="231">
        <f t="shared" si="66"/>
        <v>0</v>
      </c>
      <c r="G341" s="231">
        <f t="shared" si="66"/>
        <v>0</v>
      </c>
      <c r="H341" s="231">
        <f t="shared" si="66"/>
        <v>0</v>
      </c>
      <c r="I341" s="231">
        <f t="shared" si="66"/>
        <v>0</v>
      </c>
      <c r="J341" s="231">
        <f t="shared" si="66"/>
        <v>0</v>
      </c>
    </row>
    <row r="342" spans="1:10" x14ac:dyDescent="0.2">
      <c r="A342" s="247"/>
      <c r="B342" s="247">
        <v>282</v>
      </c>
      <c r="C342" s="222" t="s">
        <v>235</v>
      </c>
      <c r="D342" s="222"/>
      <c r="E342" s="231">
        <f t="shared" si="66"/>
        <v>0</v>
      </c>
      <c r="F342" s="231">
        <f t="shared" si="66"/>
        <v>0</v>
      </c>
      <c r="G342" s="231">
        <f t="shared" si="66"/>
        <v>0</v>
      </c>
      <c r="H342" s="231">
        <f t="shared" si="66"/>
        <v>0</v>
      </c>
      <c r="I342" s="231">
        <f t="shared" si="66"/>
        <v>0</v>
      </c>
      <c r="J342" s="231">
        <f t="shared" si="66"/>
        <v>0</v>
      </c>
    </row>
    <row r="343" spans="1:10" x14ac:dyDescent="0.2">
      <c r="A343" s="247"/>
      <c r="B343" s="247">
        <v>283</v>
      </c>
      <c r="C343" s="222" t="s">
        <v>236</v>
      </c>
      <c r="D343" s="222"/>
      <c r="E343" s="231">
        <f t="shared" si="66"/>
        <v>0</v>
      </c>
      <c r="F343" s="231">
        <f t="shared" si="66"/>
        <v>0</v>
      </c>
      <c r="G343" s="231">
        <f t="shared" si="66"/>
        <v>0</v>
      </c>
      <c r="H343" s="231">
        <f t="shared" si="66"/>
        <v>0</v>
      </c>
      <c r="I343" s="231">
        <f t="shared" si="66"/>
        <v>0</v>
      </c>
      <c r="J343" s="231">
        <f t="shared" si="66"/>
        <v>0</v>
      </c>
    </row>
    <row r="344" spans="1:10" x14ac:dyDescent="0.2">
      <c r="A344" s="247"/>
      <c r="B344" s="247">
        <v>284</v>
      </c>
      <c r="C344" s="222" t="s">
        <v>340</v>
      </c>
      <c r="D344" s="222"/>
      <c r="E344" s="231">
        <f t="shared" si="66"/>
        <v>25050.97</v>
      </c>
      <c r="F344" s="231">
        <f t="shared" si="66"/>
        <v>59000</v>
      </c>
      <c r="G344" s="231">
        <f t="shared" si="66"/>
        <v>59000</v>
      </c>
      <c r="H344" s="231">
        <f t="shared" si="66"/>
        <v>59000</v>
      </c>
      <c r="I344" s="231">
        <f t="shared" si="66"/>
        <v>59000</v>
      </c>
      <c r="J344" s="231">
        <f t="shared" si="66"/>
        <v>59000</v>
      </c>
    </row>
    <row r="345" spans="1:10" x14ac:dyDescent="0.2">
      <c r="A345" s="247"/>
      <c r="B345" s="247">
        <v>290</v>
      </c>
      <c r="C345" s="222" t="s">
        <v>238</v>
      </c>
      <c r="D345" s="222"/>
      <c r="E345" s="231">
        <f t="shared" si="66"/>
        <v>0</v>
      </c>
      <c r="F345" s="231">
        <f t="shared" si="66"/>
        <v>0</v>
      </c>
      <c r="G345" s="231">
        <f t="shared" si="66"/>
        <v>0</v>
      </c>
      <c r="H345" s="231">
        <f t="shared" si="66"/>
        <v>0</v>
      </c>
      <c r="I345" s="231">
        <f t="shared" si="66"/>
        <v>0</v>
      </c>
      <c r="J345" s="231">
        <f t="shared" si="66"/>
        <v>0</v>
      </c>
    </row>
    <row r="346" spans="1:10" x14ac:dyDescent="0.2">
      <c r="A346" s="247"/>
      <c r="B346" s="247">
        <v>292</v>
      </c>
      <c r="C346" s="222" t="s">
        <v>239</v>
      </c>
      <c r="D346" s="222"/>
      <c r="E346" s="231">
        <f t="shared" si="66"/>
        <v>0</v>
      </c>
      <c r="F346" s="231">
        <f t="shared" si="66"/>
        <v>0</v>
      </c>
      <c r="G346" s="231">
        <f t="shared" si="66"/>
        <v>0</v>
      </c>
      <c r="H346" s="231">
        <f t="shared" si="66"/>
        <v>0</v>
      </c>
      <c r="I346" s="231">
        <f t="shared" si="66"/>
        <v>0</v>
      </c>
      <c r="J346" s="231">
        <f t="shared" si="66"/>
        <v>0</v>
      </c>
    </row>
    <row r="347" spans="1:10" x14ac:dyDescent="0.2">
      <c r="A347" s="247"/>
      <c r="B347" s="247">
        <v>293</v>
      </c>
      <c r="C347" s="222" t="s">
        <v>240</v>
      </c>
      <c r="D347" s="222"/>
      <c r="E347" s="231">
        <f t="shared" si="66"/>
        <v>0</v>
      </c>
      <c r="F347" s="231">
        <f t="shared" si="66"/>
        <v>0</v>
      </c>
      <c r="G347" s="231">
        <f t="shared" si="66"/>
        <v>0</v>
      </c>
      <c r="H347" s="231">
        <f t="shared" si="66"/>
        <v>0</v>
      </c>
      <c r="I347" s="231">
        <f t="shared" si="66"/>
        <v>0</v>
      </c>
      <c r="J347" s="231">
        <f t="shared" si="66"/>
        <v>0</v>
      </c>
    </row>
    <row r="348" spans="1:10" ht="15" thickBot="1" x14ac:dyDescent="0.25">
      <c r="A348" s="222"/>
      <c r="B348" s="247"/>
      <c r="C348" s="229" t="s">
        <v>392</v>
      </c>
      <c r="D348" s="240"/>
      <c r="E348" s="248">
        <f t="shared" ref="E348:J348" si="67">SUM(E305:E347)</f>
        <v>5517163.5300000003</v>
      </c>
      <c r="F348" s="248">
        <f t="shared" si="67"/>
        <v>6051200</v>
      </c>
      <c r="G348" s="248">
        <f t="shared" si="67"/>
        <v>5944100</v>
      </c>
      <c r="H348" s="248">
        <f t="shared" si="67"/>
        <v>6266700</v>
      </c>
      <c r="I348" s="248">
        <f t="shared" si="67"/>
        <v>6340600</v>
      </c>
      <c r="J348" s="248">
        <f t="shared" si="67"/>
        <v>6448100</v>
      </c>
    </row>
    <row r="349" spans="1:10" x14ac:dyDescent="0.2">
      <c r="E349" s="242"/>
      <c r="F349" s="242"/>
      <c r="G349" s="242"/>
      <c r="H349" s="227"/>
      <c r="I349" s="227"/>
      <c r="J349" s="227"/>
    </row>
  </sheetData>
  <mergeCells count="280">
    <mergeCell ref="A264:E264"/>
    <mergeCell ref="A258:J258"/>
    <mergeCell ref="A259:E259"/>
    <mergeCell ref="A260:J260"/>
    <mergeCell ref="A261:E261"/>
    <mergeCell ref="A262:E262"/>
    <mergeCell ref="A263:J263"/>
    <mergeCell ref="A252:J252"/>
    <mergeCell ref="A253:J253"/>
    <mergeCell ref="A254:J254"/>
    <mergeCell ref="A255:J255"/>
    <mergeCell ref="A256:J256"/>
    <mergeCell ref="A257:J257"/>
    <mergeCell ref="A246:J246"/>
    <mergeCell ref="A247:J247"/>
    <mergeCell ref="A248:J248"/>
    <mergeCell ref="A249:J249"/>
    <mergeCell ref="A250:J250"/>
    <mergeCell ref="A251:J251"/>
    <mergeCell ref="A240:C240"/>
    <mergeCell ref="A241:C241"/>
    <mergeCell ref="A242:C242"/>
    <mergeCell ref="A243:D243"/>
    <mergeCell ref="A244:J244"/>
    <mergeCell ref="A245:J245"/>
    <mergeCell ref="C234:D234"/>
    <mergeCell ref="C235:D235"/>
    <mergeCell ref="C236:D236"/>
    <mergeCell ref="A237:D237"/>
    <mergeCell ref="A238:J238"/>
    <mergeCell ref="A239:J239"/>
    <mergeCell ref="A230:D230"/>
    <mergeCell ref="A231:J231"/>
    <mergeCell ref="A232:J232"/>
    <mergeCell ref="A233:D233"/>
    <mergeCell ref="E233:E234"/>
    <mergeCell ref="F233:F234"/>
    <mergeCell ref="G233:G234"/>
    <mergeCell ref="H233:H234"/>
    <mergeCell ref="I233:I234"/>
    <mergeCell ref="J233:J234"/>
    <mergeCell ref="A224:I224"/>
    <mergeCell ref="B225:D225"/>
    <mergeCell ref="B226:D226"/>
    <mergeCell ref="B227:D227"/>
    <mergeCell ref="B228:D228"/>
    <mergeCell ref="A229:D229"/>
    <mergeCell ref="A218:I218"/>
    <mergeCell ref="B219:D219"/>
    <mergeCell ref="B220:D220"/>
    <mergeCell ref="B221:D221"/>
    <mergeCell ref="B222:D222"/>
    <mergeCell ref="A223:D223"/>
    <mergeCell ref="B212:D212"/>
    <mergeCell ref="B213:D213"/>
    <mergeCell ref="A214:D214"/>
    <mergeCell ref="A215:J215"/>
    <mergeCell ref="A216:J216"/>
    <mergeCell ref="B217:D217"/>
    <mergeCell ref="A207:J207"/>
    <mergeCell ref="A208:C208"/>
    <mergeCell ref="D208:J208"/>
    <mergeCell ref="A209:J209"/>
    <mergeCell ref="A210:J210"/>
    <mergeCell ref="B211:D211"/>
    <mergeCell ref="A201:E201"/>
    <mergeCell ref="A202:E202"/>
    <mergeCell ref="A203:E203"/>
    <mergeCell ref="A204:E204"/>
    <mergeCell ref="A205:E205"/>
    <mergeCell ref="A206:E206"/>
    <mergeCell ref="A195:E195"/>
    <mergeCell ref="A196:E196"/>
    <mergeCell ref="A197:E197"/>
    <mergeCell ref="A198:E198"/>
    <mergeCell ref="A199:J199"/>
    <mergeCell ref="A200:E200"/>
    <mergeCell ref="A189:J189"/>
    <mergeCell ref="A190:E190"/>
    <mergeCell ref="A191:E191"/>
    <mergeCell ref="A192:E192"/>
    <mergeCell ref="A193:E193"/>
    <mergeCell ref="A194:E194"/>
    <mergeCell ref="A183:J183"/>
    <mergeCell ref="A184:J184"/>
    <mergeCell ref="A185:J185"/>
    <mergeCell ref="A186:J186"/>
    <mergeCell ref="A187:J187"/>
    <mergeCell ref="A188:E188"/>
    <mergeCell ref="A177:J177"/>
    <mergeCell ref="A178:J178"/>
    <mergeCell ref="A179:J179"/>
    <mergeCell ref="A180:J180"/>
    <mergeCell ref="A181:J181"/>
    <mergeCell ref="A182:J182"/>
    <mergeCell ref="A173:C173"/>
    <mergeCell ref="F173:H173"/>
    <mergeCell ref="A174:I174"/>
    <mergeCell ref="A175:C175"/>
    <mergeCell ref="F175:H175"/>
    <mergeCell ref="A176:J176"/>
    <mergeCell ref="A170:C170"/>
    <mergeCell ref="F170:H170"/>
    <mergeCell ref="A171:C171"/>
    <mergeCell ref="F171:H171"/>
    <mergeCell ref="A172:C172"/>
    <mergeCell ref="F172:H172"/>
    <mergeCell ref="A166:J166"/>
    <mergeCell ref="A167:C167"/>
    <mergeCell ref="F167:H167"/>
    <mergeCell ref="A168:C168"/>
    <mergeCell ref="F168:H168"/>
    <mergeCell ref="A169:C169"/>
    <mergeCell ref="F169:H169"/>
    <mergeCell ref="J160:J161"/>
    <mergeCell ref="C161:D161"/>
    <mergeCell ref="C162:D162"/>
    <mergeCell ref="C163:D163"/>
    <mergeCell ref="A164:D164"/>
    <mergeCell ref="A165:I165"/>
    <mergeCell ref="A156:D156"/>
    <mergeCell ref="A157:D157"/>
    <mergeCell ref="A158:I158"/>
    <mergeCell ref="A159:J159"/>
    <mergeCell ref="A160:D160"/>
    <mergeCell ref="E160:E161"/>
    <mergeCell ref="F160:F161"/>
    <mergeCell ref="G160:G161"/>
    <mergeCell ref="H160:H161"/>
    <mergeCell ref="I160:I161"/>
    <mergeCell ref="B150:D150"/>
    <mergeCell ref="B151:D151"/>
    <mergeCell ref="B152:D152"/>
    <mergeCell ref="B153:D153"/>
    <mergeCell ref="B154:D154"/>
    <mergeCell ref="B155:D155"/>
    <mergeCell ref="B144:D144"/>
    <mergeCell ref="B145:D145"/>
    <mergeCell ref="B146:D146"/>
    <mergeCell ref="B147:D147"/>
    <mergeCell ref="B148:D148"/>
    <mergeCell ref="B149:D149"/>
    <mergeCell ref="B137:D137"/>
    <mergeCell ref="B138:D138"/>
    <mergeCell ref="B139:D139"/>
    <mergeCell ref="B140:D140"/>
    <mergeCell ref="A141:D141"/>
    <mergeCell ref="B143:D143"/>
    <mergeCell ref="B130:D130"/>
    <mergeCell ref="B131:D131"/>
    <mergeCell ref="A132:D132"/>
    <mergeCell ref="A134:J134"/>
    <mergeCell ref="B135:D135"/>
    <mergeCell ref="A136:I136"/>
    <mergeCell ref="A124:J124"/>
    <mergeCell ref="B125:D125"/>
    <mergeCell ref="B126:D126"/>
    <mergeCell ref="B127:D127"/>
    <mergeCell ref="B128:D128"/>
    <mergeCell ref="B129:D129"/>
    <mergeCell ref="A119:E119"/>
    <mergeCell ref="A120:J120"/>
    <mergeCell ref="A121:J121"/>
    <mergeCell ref="A122:C122"/>
    <mergeCell ref="D122:J122"/>
    <mergeCell ref="A123:J123"/>
    <mergeCell ref="A113:E113"/>
    <mergeCell ref="A114:E114"/>
    <mergeCell ref="A115:E115"/>
    <mergeCell ref="A116:J116"/>
    <mergeCell ref="A117:E117"/>
    <mergeCell ref="A118:E118"/>
    <mergeCell ref="A107:J107"/>
    <mergeCell ref="A108:E108"/>
    <mergeCell ref="A109:E109"/>
    <mergeCell ref="A110:E110"/>
    <mergeCell ref="A111:E111"/>
    <mergeCell ref="A112:E112"/>
    <mergeCell ref="A101:J101"/>
    <mergeCell ref="A102:J102"/>
    <mergeCell ref="A103:J103"/>
    <mergeCell ref="A104:J104"/>
    <mergeCell ref="A105:J105"/>
    <mergeCell ref="A106:E106"/>
    <mergeCell ref="A95:J95"/>
    <mergeCell ref="A96:J96"/>
    <mergeCell ref="A97:J97"/>
    <mergeCell ref="A98:J98"/>
    <mergeCell ref="A99:J99"/>
    <mergeCell ref="A100:J100"/>
    <mergeCell ref="A89:C89"/>
    <mergeCell ref="A90:C90"/>
    <mergeCell ref="A91:D91"/>
    <mergeCell ref="A92:J92"/>
    <mergeCell ref="A93:J93"/>
    <mergeCell ref="A94:J94"/>
    <mergeCell ref="A83:D83"/>
    <mergeCell ref="A84:J84"/>
    <mergeCell ref="A85:J85"/>
    <mergeCell ref="A86:C86"/>
    <mergeCell ref="A87:C87"/>
    <mergeCell ref="A88:C88"/>
    <mergeCell ref="A77:D77"/>
    <mergeCell ref="A78:J78"/>
    <mergeCell ref="A79:J79"/>
    <mergeCell ref="A80:D80"/>
    <mergeCell ref="C81:D81"/>
    <mergeCell ref="C82:D82"/>
    <mergeCell ref="A71:J71"/>
    <mergeCell ref="B72:D72"/>
    <mergeCell ref="B73:D73"/>
    <mergeCell ref="B74:D74"/>
    <mergeCell ref="B75:D75"/>
    <mergeCell ref="A76:D76"/>
    <mergeCell ref="A65:J65"/>
    <mergeCell ref="B66:D66"/>
    <mergeCell ref="B67:D67"/>
    <mergeCell ref="B68:D68"/>
    <mergeCell ref="B69:D69"/>
    <mergeCell ref="A70:D70"/>
    <mergeCell ref="B59:D59"/>
    <mergeCell ref="B60:D60"/>
    <mergeCell ref="A61:D61"/>
    <mergeCell ref="A62:J62"/>
    <mergeCell ref="A63:J63"/>
    <mergeCell ref="B64:D64"/>
    <mergeCell ref="A54:J54"/>
    <mergeCell ref="A55:J55"/>
    <mergeCell ref="A56:C56"/>
    <mergeCell ref="D56:J56"/>
    <mergeCell ref="A57:J57"/>
    <mergeCell ref="A58:J58"/>
    <mergeCell ref="A48:D48"/>
    <mergeCell ref="A49:J49"/>
    <mergeCell ref="A50:D50"/>
    <mergeCell ref="A51:J51"/>
    <mergeCell ref="A52:J52"/>
    <mergeCell ref="A53:D53"/>
    <mergeCell ref="B42:D42"/>
    <mergeCell ref="A43:D43"/>
    <mergeCell ref="A44:J44"/>
    <mergeCell ref="A45:J45"/>
    <mergeCell ref="C46:D46"/>
    <mergeCell ref="C47:D47"/>
    <mergeCell ref="A36:J36"/>
    <mergeCell ref="A37:J37"/>
    <mergeCell ref="B38:D38"/>
    <mergeCell ref="B39:D39"/>
    <mergeCell ref="B40:D40"/>
    <mergeCell ref="B41:D41"/>
    <mergeCell ref="A30:J30"/>
    <mergeCell ref="B31:D31"/>
    <mergeCell ref="B32:D32"/>
    <mergeCell ref="B33:D33"/>
    <mergeCell ref="A34:D34"/>
    <mergeCell ref="A35:J35"/>
    <mergeCell ref="A24:J24"/>
    <mergeCell ref="B25:D25"/>
    <mergeCell ref="B26:D26"/>
    <mergeCell ref="B27:D27"/>
    <mergeCell ref="A28:D28"/>
    <mergeCell ref="A29:J29"/>
    <mergeCell ref="A18:J18"/>
    <mergeCell ref="A19:J19"/>
    <mergeCell ref="A20:J20"/>
    <mergeCell ref="A21:J21"/>
    <mergeCell ref="A22:J22"/>
    <mergeCell ref="B23:D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fitToHeight="0" orientation="portrait" r:id="rId1"/>
  <rowBreaks count="9" manualBreakCount="9">
    <brk id="35" max="16383" man="1"/>
    <brk id="54" max="16383" man="1"/>
    <brk id="92" min="3" max="9" man="1"/>
    <brk id="120" max="9" man="1"/>
    <brk id="164" min="3" max="9" man="1"/>
    <brk id="206" max="16383" man="1"/>
    <brk id="238" max="9" man="1"/>
    <brk id="264" min="3" max="9" man="1"/>
    <brk id="302" min="3"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B1" sqref="B1"/>
    </sheetView>
  </sheetViews>
  <sheetFormatPr defaultColWidth="12.42578125" defaultRowHeight="15" x14ac:dyDescent="0.2"/>
  <cols>
    <col min="1" max="1" width="9.140625" style="716" bestFit="1" customWidth="1"/>
    <col min="2" max="2" width="71" style="716" customWidth="1"/>
    <col min="3" max="3" width="14.140625" style="596" customWidth="1"/>
    <col min="4" max="4" width="0" style="716" hidden="1" customWidth="1"/>
    <col min="5" max="5" width="16.140625" style="716" customWidth="1"/>
    <col min="6" max="214" width="12.42578125" style="716"/>
    <col min="215" max="215" width="8" style="716" customWidth="1"/>
    <col min="216" max="216" width="71" style="716" customWidth="1"/>
    <col min="217" max="217" width="14.140625" style="716" customWidth="1"/>
    <col min="218" max="218" width="0" style="716" hidden="1" customWidth="1"/>
    <col min="219" max="219" width="16.140625" style="716" customWidth="1"/>
    <col min="220" max="220" width="15" style="716" customWidth="1"/>
    <col min="221" max="470" width="12.42578125" style="716"/>
    <col min="471" max="471" width="8" style="716" customWidth="1"/>
    <col min="472" max="472" width="71" style="716" customWidth="1"/>
    <col min="473" max="473" width="14.140625" style="716" customWidth="1"/>
    <col min="474" max="474" width="0" style="716" hidden="1" customWidth="1"/>
    <col min="475" max="475" width="16.140625" style="716" customWidth="1"/>
    <col min="476" max="476" width="15" style="716" customWidth="1"/>
    <col min="477" max="726" width="12.42578125" style="716"/>
    <col min="727" max="727" width="8" style="716" customWidth="1"/>
    <col min="728" max="728" width="71" style="716" customWidth="1"/>
    <col min="729" max="729" width="14.140625" style="716" customWidth="1"/>
    <col min="730" max="730" width="0" style="716" hidden="1" customWidth="1"/>
    <col min="731" max="731" width="16.140625" style="716" customWidth="1"/>
    <col min="732" max="732" width="15" style="716" customWidth="1"/>
    <col min="733" max="982" width="12.42578125" style="716"/>
    <col min="983" max="983" width="8" style="716" customWidth="1"/>
    <col min="984" max="984" width="71" style="716" customWidth="1"/>
    <col min="985" max="985" width="14.140625" style="716" customWidth="1"/>
    <col min="986" max="986" width="0" style="716" hidden="1" customWidth="1"/>
    <col min="987" max="987" width="16.140625" style="716" customWidth="1"/>
    <col min="988" max="988" width="15" style="716" customWidth="1"/>
    <col min="989" max="1238" width="12.42578125" style="716"/>
    <col min="1239" max="1239" width="8" style="716" customWidth="1"/>
    <col min="1240" max="1240" width="71" style="716" customWidth="1"/>
    <col min="1241" max="1241" width="14.140625" style="716" customWidth="1"/>
    <col min="1242" max="1242" width="0" style="716" hidden="1" customWidth="1"/>
    <col min="1243" max="1243" width="16.140625" style="716" customWidth="1"/>
    <col min="1244" max="1244" width="15" style="716" customWidth="1"/>
    <col min="1245" max="1494" width="12.42578125" style="716"/>
    <col min="1495" max="1495" width="8" style="716" customWidth="1"/>
    <col min="1496" max="1496" width="71" style="716" customWidth="1"/>
    <col min="1497" max="1497" width="14.140625" style="716" customWidth="1"/>
    <col min="1498" max="1498" width="0" style="716" hidden="1" customWidth="1"/>
    <col min="1499" max="1499" width="16.140625" style="716" customWidth="1"/>
    <col min="1500" max="1500" width="15" style="716" customWidth="1"/>
    <col min="1501" max="1750" width="12.42578125" style="716"/>
    <col min="1751" max="1751" width="8" style="716" customWidth="1"/>
    <col min="1752" max="1752" width="71" style="716" customWidth="1"/>
    <col min="1753" max="1753" width="14.140625" style="716" customWidth="1"/>
    <col min="1754" max="1754" width="0" style="716" hidden="1" customWidth="1"/>
    <col min="1755" max="1755" width="16.140625" style="716" customWidth="1"/>
    <col min="1756" max="1756" width="15" style="716" customWidth="1"/>
    <col min="1757" max="2006" width="12.42578125" style="716"/>
    <col min="2007" max="2007" width="8" style="716" customWidth="1"/>
    <col min="2008" max="2008" width="71" style="716" customWidth="1"/>
    <col min="2009" max="2009" width="14.140625" style="716" customWidth="1"/>
    <col min="2010" max="2010" width="0" style="716" hidden="1" customWidth="1"/>
    <col min="2011" max="2011" width="16.140625" style="716" customWidth="1"/>
    <col min="2012" max="2012" width="15" style="716" customWidth="1"/>
    <col min="2013" max="2262" width="12.42578125" style="716"/>
    <col min="2263" max="2263" width="8" style="716" customWidth="1"/>
    <col min="2264" max="2264" width="71" style="716" customWidth="1"/>
    <col min="2265" max="2265" width="14.140625" style="716" customWidth="1"/>
    <col min="2266" max="2266" width="0" style="716" hidden="1" customWidth="1"/>
    <col min="2267" max="2267" width="16.140625" style="716" customWidth="1"/>
    <col min="2268" max="2268" width="15" style="716" customWidth="1"/>
    <col min="2269" max="2518" width="12.42578125" style="716"/>
    <col min="2519" max="2519" width="8" style="716" customWidth="1"/>
    <col min="2520" max="2520" width="71" style="716" customWidth="1"/>
    <col min="2521" max="2521" width="14.140625" style="716" customWidth="1"/>
    <col min="2522" max="2522" width="0" style="716" hidden="1" customWidth="1"/>
    <col min="2523" max="2523" width="16.140625" style="716" customWidth="1"/>
    <col min="2524" max="2524" width="15" style="716" customWidth="1"/>
    <col min="2525" max="2774" width="12.42578125" style="716"/>
    <col min="2775" max="2775" width="8" style="716" customWidth="1"/>
    <col min="2776" max="2776" width="71" style="716" customWidth="1"/>
    <col min="2777" max="2777" width="14.140625" style="716" customWidth="1"/>
    <col min="2778" max="2778" width="0" style="716" hidden="1" customWidth="1"/>
    <col min="2779" max="2779" width="16.140625" style="716" customWidth="1"/>
    <col min="2780" max="2780" width="15" style="716" customWidth="1"/>
    <col min="2781" max="3030" width="12.42578125" style="716"/>
    <col min="3031" max="3031" width="8" style="716" customWidth="1"/>
    <col min="3032" max="3032" width="71" style="716" customWidth="1"/>
    <col min="3033" max="3033" width="14.140625" style="716" customWidth="1"/>
    <col min="3034" max="3034" width="0" style="716" hidden="1" customWidth="1"/>
    <col min="3035" max="3035" width="16.140625" style="716" customWidth="1"/>
    <col min="3036" max="3036" width="15" style="716" customWidth="1"/>
    <col min="3037" max="3286" width="12.42578125" style="716"/>
    <col min="3287" max="3287" width="8" style="716" customWidth="1"/>
    <col min="3288" max="3288" width="71" style="716" customWidth="1"/>
    <col min="3289" max="3289" width="14.140625" style="716" customWidth="1"/>
    <col min="3290" max="3290" width="0" style="716" hidden="1" customWidth="1"/>
    <col min="3291" max="3291" width="16.140625" style="716" customWidth="1"/>
    <col min="3292" max="3292" width="15" style="716" customWidth="1"/>
    <col min="3293" max="3542" width="12.42578125" style="716"/>
    <col min="3543" max="3543" width="8" style="716" customWidth="1"/>
    <col min="3544" max="3544" width="71" style="716" customWidth="1"/>
    <col min="3545" max="3545" width="14.140625" style="716" customWidth="1"/>
    <col min="3546" max="3546" width="0" style="716" hidden="1" customWidth="1"/>
    <col min="3547" max="3547" width="16.140625" style="716" customWidth="1"/>
    <col min="3548" max="3548" width="15" style="716" customWidth="1"/>
    <col min="3549" max="3798" width="12.42578125" style="716"/>
    <col min="3799" max="3799" width="8" style="716" customWidth="1"/>
    <col min="3800" max="3800" width="71" style="716" customWidth="1"/>
    <col min="3801" max="3801" width="14.140625" style="716" customWidth="1"/>
    <col min="3802" max="3802" width="0" style="716" hidden="1" customWidth="1"/>
    <col min="3803" max="3803" width="16.140625" style="716" customWidth="1"/>
    <col min="3804" max="3804" width="15" style="716" customWidth="1"/>
    <col min="3805" max="4054" width="12.42578125" style="716"/>
    <col min="4055" max="4055" width="8" style="716" customWidth="1"/>
    <col min="4056" max="4056" width="71" style="716" customWidth="1"/>
    <col min="4057" max="4057" width="14.140625" style="716" customWidth="1"/>
    <col min="4058" max="4058" width="0" style="716" hidden="1" customWidth="1"/>
    <col min="4059" max="4059" width="16.140625" style="716" customWidth="1"/>
    <col min="4060" max="4060" width="15" style="716" customWidth="1"/>
    <col min="4061" max="4310" width="12.42578125" style="716"/>
    <col min="4311" max="4311" width="8" style="716" customWidth="1"/>
    <col min="4312" max="4312" width="71" style="716" customWidth="1"/>
    <col min="4313" max="4313" width="14.140625" style="716" customWidth="1"/>
    <col min="4314" max="4314" width="0" style="716" hidden="1" customWidth="1"/>
    <col min="4315" max="4315" width="16.140625" style="716" customWidth="1"/>
    <col min="4316" max="4316" width="15" style="716" customWidth="1"/>
    <col min="4317" max="4566" width="12.42578125" style="716"/>
    <col min="4567" max="4567" width="8" style="716" customWidth="1"/>
    <col min="4568" max="4568" width="71" style="716" customWidth="1"/>
    <col min="4569" max="4569" width="14.140625" style="716" customWidth="1"/>
    <col min="4570" max="4570" width="0" style="716" hidden="1" customWidth="1"/>
    <col min="4571" max="4571" width="16.140625" style="716" customWidth="1"/>
    <col min="4572" max="4572" width="15" style="716" customWidth="1"/>
    <col min="4573" max="4822" width="12.42578125" style="716"/>
    <col min="4823" max="4823" width="8" style="716" customWidth="1"/>
    <col min="4824" max="4824" width="71" style="716" customWidth="1"/>
    <col min="4825" max="4825" width="14.140625" style="716" customWidth="1"/>
    <col min="4826" max="4826" width="0" style="716" hidden="1" customWidth="1"/>
    <col min="4827" max="4827" width="16.140625" style="716" customWidth="1"/>
    <col min="4828" max="4828" width="15" style="716" customWidth="1"/>
    <col min="4829" max="5078" width="12.42578125" style="716"/>
    <col min="5079" max="5079" width="8" style="716" customWidth="1"/>
    <col min="5080" max="5080" width="71" style="716" customWidth="1"/>
    <col min="5081" max="5081" width="14.140625" style="716" customWidth="1"/>
    <col min="5082" max="5082" width="0" style="716" hidden="1" customWidth="1"/>
    <col min="5083" max="5083" width="16.140625" style="716" customWidth="1"/>
    <col min="5084" max="5084" width="15" style="716" customWidth="1"/>
    <col min="5085" max="5334" width="12.42578125" style="716"/>
    <col min="5335" max="5335" width="8" style="716" customWidth="1"/>
    <col min="5336" max="5336" width="71" style="716" customWidth="1"/>
    <col min="5337" max="5337" width="14.140625" style="716" customWidth="1"/>
    <col min="5338" max="5338" width="0" style="716" hidden="1" customWidth="1"/>
    <col min="5339" max="5339" width="16.140625" style="716" customWidth="1"/>
    <col min="5340" max="5340" width="15" style="716" customWidth="1"/>
    <col min="5341" max="5590" width="12.42578125" style="716"/>
    <col min="5591" max="5591" width="8" style="716" customWidth="1"/>
    <col min="5592" max="5592" width="71" style="716" customWidth="1"/>
    <col min="5593" max="5593" width="14.140625" style="716" customWidth="1"/>
    <col min="5594" max="5594" width="0" style="716" hidden="1" customWidth="1"/>
    <col min="5595" max="5595" width="16.140625" style="716" customWidth="1"/>
    <col min="5596" max="5596" width="15" style="716" customWidth="1"/>
    <col min="5597" max="5846" width="12.42578125" style="716"/>
    <col min="5847" max="5847" width="8" style="716" customWidth="1"/>
    <col min="5848" max="5848" width="71" style="716" customWidth="1"/>
    <col min="5849" max="5849" width="14.140625" style="716" customWidth="1"/>
    <col min="5850" max="5850" width="0" style="716" hidden="1" customWidth="1"/>
    <col min="5851" max="5851" width="16.140625" style="716" customWidth="1"/>
    <col min="5852" max="5852" width="15" style="716" customWidth="1"/>
    <col min="5853" max="6102" width="12.42578125" style="716"/>
    <col min="6103" max="6103" width="8" style="716" customWidth="1"/>
    <col min="6104" max="6104" width="71" style="716" customWidth="1"/>
    <col min="6105" max="6105" width="14.140625" style="716" customWidth="1"/>
    <col min="6106" max="6106" width="0" style="716" hidden="1" customWidth="1"/>
    <col min="6107" max="6107" width="16.140625" style="716" customWidth="1"/>
    <col min="6108" max="6108" width="15" style="716" customWidth="1"/>
    <col min="6109" max="6358" width="12.42578125" style="716"/>
    <col min="6359" max="6359" width="8" style="716" customWidth="1"/>
    <col min="6360" max="6360" width="71" style="716" customWidth="1"/>
    <col min="6361" max="6361" width="14.140625" style="716" customWidth="1"/>
    <col min="6362" max="6362" width="0" style="716" hidden="1" customWidth="1"/>
    <col min="6363" max="6363" width="16.140625" style="716" customWidth="1"/>
    <col min="6364" max="6364" width="15" style="716" customWidth="1"/>
    <col min="6365" max="6614" width="12.42578125" style="716"/>
    <col min="6615" max="6615" width="8" style="716" customWidth="1"/>
    <col min="6616" max="6616" width="71" style="716" customWidth="1"/>
    <col min="6617" max="6617" width="14.140625" style="716" customWidth="1"/>
    <col min="6618" max="6618" width="0" style="716" hidden="1" customWidth="1"/>
    <col min="6619" max="6619" width="16.140625" style="716" customWidth="1"/>
    <col min="6620" max="6620" width="15" style="716" customWidth="1"/>
    <col min="6621" max="6870" width="12.42578125" style="716"/>
    <col min="6871" max="6871" width="8" style="716" customWidth="1"/>
    <col min="6872" max="6872" width="71" style="716" customWidth="1"/>
    <col min="6873" max="6873" width="14.140625" style="716" customWidth="1"/>
    <col min="6874" max="6874" width="0" style="716" hidden="1" customWidth="1"/>
    <col min="6875" max="6875" width="16.140625" style="716" customWidth="1"/>
    <col min="6876" max="6876" width="15" style="716" customWidth="1"/>
    <col min="6877" max="7126" width="12.42578125" style="716"/>
    <col min="7127" max="7127" width="8" style="716" customWidth="1"/>
    <col min="7128" max="7128" width="71" style="716" customWidth="1"/>
    <col min="7129" max="7129" width="14.140625" style="716" customWidth="1"/>
    <col min="7130" max="7130" width="0" style="716" hidden="1" customWidth="1"/>
    <col min="7131" max="7131" width="16.140625" style="716" customWidth="1"/>
    <col min="7132" max="7132" width="15" style="716" customWidth="1"/>
    <col min="7133" max="7382" width="12.42578125" style="716"/>
    <col min="7383" max="7383" width="8" style="716" customWidth="1"/>
    <col min="7384" max="7384" width="71" style="716" customWidth="1"/>
    <col min="7385" max="7385" width="14.140625" style="716" customWidth="1"/>
    <col min="7386" max="7386" width="0" style="716" hidden="1" customWidth="1"/>
    <col min="7387" max="7387" width="16.140625" style="716" customWidth="1"/>
    <col min="7388" max="7388" width="15" style="716" customWidth="1"/>
    <col min="7389" max="7638" width="12.42578125" style="716"/>
    <col min="7639" max="7639" width="8" style="716" customWidth="1"/>
    <col min="7640" max="7640" width="71" style="716" customWidth="1"/>
    <col min="7641" max="7641" width="14.140625" style="716" customWidth="1"/>
    <col min="7642" max="7642" width="0" style="716" hidden="1" customWidth="1"/>
    <col min="7643" max="7643" width="16.140625" style="716" customWidth="1"/>
    <col min="7644" max="7644" width="15" style="716" customWidth="1"/>
    <col min="7645" max="7894" width="12.42578125" style="716"/>
    <col min="7895" max="7895" width="8" style="716" customWidth="1"/>
    <col min="7896" max="7896" width="71" style="716" customWidth="1"/>
    <col min="7897" max="7897" width="14.140625" style="716" customWidth="1"/>
    <col min="7898" max="7898" width="0" style="716" hidden="1" customWidth="1"/>
    <col min="7899" max="7899" width="16.140625" style="716" customWidth="1"/>
    <col min="7900" max="7900" width="15" style="716" customWidth="1"/>
    <col min="7901" max="8150" width="12.42578125" style="716"/>
    <col min="8151" max="8151" width="8" style="716" customWidth="1"/>
    <col min="8152" max="8152" width="71" style="716" customWidth="1"/>
    <col min="8153" max="8153" width="14.140625" style="716" customWidth="1"/>
    <col min="8154" max="8154" width="0" style="716" hidden="1" customWidth="1"/>
    <col min="8155" max="8155" width="16.140625" style="716" customWidth="1"/>
    <col min="8156" max="8156" width="15" style="716" customWidth="1"/>
    <col min="8157" max="8406" width="12.42578125" style="716"/>
    <col min="8407" max="8407" width="8" style="716" customWidth="1"/>
    <col min="8408" max="8408" width="71" style="716" customWidth="1"/>
    <col min="8409" max="8409" width="14.140625" style="716" customWidth="1"/>
    <col min="8410" max="8410" width="0" style="716" hidden="1" customWidth="1"/>
    <col min="8411" max="8411" width="16.140625" style="716" customWidth="1"/>
    <col min="8412" max="8412" width="15" style="716" customWidth="1"/>
    <col min="8413" max="8662" width="12.42578125" style="716"/>
    <col min="8663" max="8663" width="8" style="716" customWidth="1"/>
    <col min="8664" max="8664" width="71" style="716" customWidth="1"/>
    <col min="8665" max="8665" width="14.140625" style="716" customWidth="1"/>
    <col min="8666" max="8666" width="0" style="716" hidden="1" customWidth="1"/>
    <col min="8667" max="8667" width="16.140625" style="716" customWidth="1"/>
    <col min="8668" max="8668" width="15" style="716" customWidth="1"/>
    <col min="8669" max="8918" width="12.42578125" style="716"/>
    <col min="8919" max="8919" width="8" style="716" customWidth="1"/>
    <col min="8920" max="8920" width="71" style="716" customWidth="1"/>
    <col min="8921" max="8921" width="14.140625" style="716" customWidth="1"/>
    <col min="8922" max="8922" width="0" style="716" hidden="1" customWidth="1"/>
    <col min="8923" max="8923" width="16.140625" style="716" customWidth="1"/>
    <col min="8924" max="8924" width="15" style="716" customWidth="1"/>
    <col min="8925" max="9174" width="12.42578125" style="716"/>
    <col min="9175" max="9175" width="8" style="716" customWidth="1"/>
    <col min="9176" max="9176" width="71" style="716" customWidth="1"/>
    <col min="9177" max="9177" width="14.140625" style="716" customWidth="1"/>
    <col min="9178" max="9178" width="0" style="716" hidden="1" customWidth="1"/>
    <col min="9179" max="9179" width="16.140625" style="716" customWidth="1"/>
    <col min="9180" max="9180" width="15" style="716" customWidth="1"/>
    <col min="9181" max="9430" width="12.42578125" style="716"/>
    <col min="9431" max="9431" width="8" style="716" customWidth="1"/>
    <col min="9432" max="9432" width="71" style="716" customWidth="1"/>
    <col min="9433" max="9433" width="14.140625" style="716" customWidth="1"/>
    <col min="9434" max="9434" width="0" style="716" hidden="1" customWidth="1"/>
    <col min="9435" max="9435" width="16.140625" style="716" customWidth="1"/>
    <col min="9436" max="9436" width="15" style="716" customWidth="1"/>
    <col min="9437" max="9686" width="12.42578125" style="716"/>
    <col min="9687" max="9687" width="8" style="716" customWidth="1"/>
    <col min="9688" max="9688" width="71" style="716" customWidth="1"/>
    <col min="9689" max="9689" width="14.140625" style="716" customWidth="1"/>
    <col min="9690" max="9690" width="0" style="716" hidden="1" customWidth="1"/>
    <col min="9691" max="9691" width="16.140625" style="716" customWidth="1"/>
    <col min="9692" max="9692" width="15" style="716" customWidth="1"/>
    <col min="9693" max="9942" width="12.42578125" style="716"/>
    <col min="9943" max="9943" width="8" style="716" customWidth="1"/>
    <col min="9944" max="9944" width="71" style="716" customWidth="1"/>
    <col min="9945" max="9945" width="14.140625" style="716" customWidth="1"/>
    <col min="9946" max="9946" width="0" style="716" hidden="1" customWidth="1"/>
    <col min="9947" max="9947" width="16.140625" style="716" customWidth="1"/>
    <col min="9948" max="9948" width="15" style="716" customWidth="1"/>
    <col min="9949" max="10198" width="12.42578125" style="716"/>
    <col min="10199" max="10199" width="8" style="716" customWidth="1"/>
    <col min="10200" max="10200" width="71" style="716" customWidth="1"/>
    <col min="10201" max="10201" width="14.140625" style="716" customWidth="1"/>
    <col min="10202" max="10202" width="0" style="716" hidden="1" customWidth="1"/>
    <col min="10203" max="10203" width="16.140625" style="716" customWidth="1"/>
    <col min="10204" max="10204" width="15" style="716" customWidth="1"/>
    <col min="10205" max="10454" width="12.42578125" style="716"/>
    <col min="10455" max="10455" width="8" style="716" customWidth="1"/>
    <col min="10456" max="10456" width="71" style="716" customWidth="1"/>
    <col min="10457" max="10457" width="14.140625" style="716" customWidth="1"/>
    <col min="10458" max="10458" width="0" style="716" hidden="1" customWidth="1"/>
    <col min="10459" max="10459" width="16.140625" style="716" customWidth="1"/>
    <col min="10460" max="10460" width="15" style="716" customWidth="1"/>
    <col min="10461" max="10710" width="12.42578125" style="716"/>
    <col min="10711" max="10711" width="8" style="716" customWidth="1"/>
    <col min="10712" max="10712" width="71" style="716" customWidth="1"/>
    <col min="10713" max="10713" width="14.140625" style="716" customWidth="1"/>
    <col min="10714" max="10714" width="0" style="716" hidden="1" customWidth="1"/>
    <col min="10715" max="10715" width="16.140625" style="716" customWidth="1"/>
    <col min="10716" max="10716" width="15" style="716" customWidth="1"/>
    <col min="10717" max="10966" width="12.42578125" style="716"/>
    <col min="10967" max="10967" width="8" style="716" customWidth="1"/>
    <col min="10968" max="10968" width="71" style="716" customWidth="1"/>
    <col min="10969" max="10969" width="14.140625" style="716" customWidth="1"/>
    <col min="10970" max="10970" width="0" style="716" hidden="1" customWidth="1"/>
    <col min="10971" max="10971" width="16.140625" style="716" customWidth="1"/>
    <col min="10972" max="10972" width="15" style="716" customWidth="1"/>
    <col min="10973" max="11222" width="12.42578125" style="716"/>
    <col min="11223" max="11223" width="8" style="716" customWidth="1"/>
    <col min="11224" max="11224" width="71" style="716" customWidth="1"/>
    <col min="11225" max="11225" width="14.140625" style="716" customWidth="1"/>
    <col min="11226" max="11226" width="0" style="716" hidden="1" customWidth="1"/>
    <col min="11227" max="11227" width="16.140625" style="716" customWidth="1"/>
    <col min="11228" max="11228" width="15" style="716" customWidth="1"/>
    <col min="11229" max="11478" width="12.42578125" style="716"/>
    <col min="11479" max="11479" width="8" style="716" customWidth="1"/>
    <col min="11480" max="11480" width="71" style="716" customWidth="1"/>
    <col min="11481" max="11481" width="14.140625" style="716" customWidth="1"/>
    <col min="11482" max="11482" width="0" style="716" hidden="1" customWidth="1"/>
    <col min="11483" max="11483" width="16.140625" style="716" customWidth="1"/>
    <col min="11484" max="11484" width="15" style="716" customWidth="1"/>
    <col min="11485" max="11734" width="12.42578125" style="716"/>
    <col min="11735" max="11735" width="8" style="716" customWidth="1"/>
    <col min="11736" max="11736" width="71" style="716" customWidth="1"/>
    <col min="11737" max="11737" width="14.140625" style="716" customWidth="1"/>
    <col min="11738" max="11738" width="0" style="716" hidden="1" customWidth="1"/>
    <col min="11739" max="11739" width="16.140625" style="716" customWidth="1"/>
    <col min="11740" max="11740" width="15" style="716" customWidth="1"/>
    <col min="11741" max="11990" width="12.42578125" style="716"/>
    <col min="11991" max="11991" width="8" style="716" customWidth="1"/>
    <col min="11992" max="11992" width="71" style="716" customWidth="1"/>
    <col min="11993" max="11993" width="14.140625" style="716" customWidth="1"/>
    <col min="11994" max="11994" width="0" style="716" hidden="1" customWidth="1"/>
    <col min="11995" max="11995" width="16.140625" style="716" customWidth="1"/>
    <col min="11996" max="11996" width="15" style="716" customWidth="1"/>
    <col min="11997" max="12246" width="12.42578125" style="716"/>
    <col min="12247" max="12247" width="8" style="716" customWidth="1"/>
    <col min="12248" max="12248" width="71" style="716" customWidth="1"/>
    <col min="12249" max="12249" width="14.140625" style="716" customWidth="1"/>
    <col min="12250" max="12250" width="0" style="716" hidden="1" customWidth="1"/>
    <col min="12251" max="12251" width="16.140625" style="716" customWidth="1"/>
    <col min="12252" max="12252" width="15" style="716" customWidth="1"/>
    <col min="12253" max="12502" width="12.42578125" style="716"/>
    <col min="12503" max="12503" width="8" style="716" customWidth="1"/>
    <col min="12504" max="12504" width="71" style="716" customWidth="1"/>
    <col min="12505" max="12505" width="14.140625" style="716" customWidth="1"/>
    <col min="12506" max="12506" width="0" style="716" hidden="1" customWidth="1"/>
    <col min="12507" max="12507" width="16.140625" style="716" customWidth="1"/>
    <col min="12508" max="12508" width="15" style="716" customWidth="1"/>
    <col min="12509" max="12758" width="12.42578125" style="716"/>
    <col min="12759" max="12759" width="8" style="716" customWidth="1"/>
    <col min="12760" max="12760" width="71" style="716" customWidth="1"/>
    <col min="12761" max="12761" width="14.140625" style="716" customWidth="1"/>
    <col min="12762" max="12762" width="0" style="716" hidden="1" customWidth="1"/>
    <col min="12763" max="12763" width="16.140625" style="716" customWidth="1"/>
    <col min="12764" max="12764" width="15" style="716" customWidth="1"/>
    <col min="12765" max="13014" width="12.42578125" style="716"/>
    <col min="13015" max="13015" width="8" style="716" customWidth="1"/>
    <col min="13016" max="13016" width="71" style="716" customWidth="1"/>
    <col min="13017" max="13017" width="14.140625" style="716" customWidth="1"/>
    <col min="13018" max="13018" width="0" style="716" hidden="1" customWidth="1"/>
    <col min="13019" max="13019" width="16.140625" style="716" customWidth="1"/>
    <col min="13020" max="13020" width="15" style="716" customWidth="1"/>
    <col min="13021" max="13270" width="12.42578125" style="716"/>
    <col min="13271" max="13271" width="8" style="716" customWidth="1"/>
    <col min="13272" max="13272" width="71" style="716" customWidth="1"/>
    <col min="13273" max="13273" width="14.140625" style="716" customWidth="1"/>
    <col min="13274" max="13274" width="0" style="716" hidden="1" customWidth="1"/>
    <col min="13275" max="13275" width="16.140625" style="716" customWidth="1"/>
    <col min="13276" max="13276" width="15" style="716" customWidth="1"/>
    <col min="13277" max="13526" width="12.42578125" style="716"/>
    <col min="13527" max="13527" width="8" style="716" customWidth="1"/>
    <col min="13528" max="13528" width="71" style="716" customWidth="1"/>
    <col min="13529" max="13529" width="14.140625" style="716" customWidth="1"/>
    <col min="13530" max="13530" width="0" style="716" hidden="1" customWidth="1"/>
    <col min="13531" max="13531" width="16.140625" style="716" customWidth="1"/>
    <col min="13532" max="13532" width="15" style="716" customWidth="1"/>
    <col min="13533" max="13782" width="12.42578125" style="716"/>
    <col min="13783" max="13783" width="8" style="716" customWidth="1"/>
    <col min="13784" max="13784" width="71" style="716" customWidth="1"/>
    <col min="13785" max="13785" width="14.140625" style="716" customWidth="1"/>
    <col min="13786" max="13786" width="0" style="716" hidden="1" customWidth="1"/>
    <col min="13787" max="13787" width="16.140625" style="716" customWidth="1"/>
    <col min="13788" max="13788" width="15" style="716" customWidth="1"/>
    <col min="13789" max="14038" width="12.42578125" style="716"/>
    <col min="14039" max="14039" width="8" style="716" customWidth="1"/>
    <col min="14040" max="14040" width="71" style="716" customWidth="1"/>
    <col min="14041" max="14041" width="14.140625" style="716" customWidth="1"/>
    <col min="14042" max="14042" width="0" style="716" hidden="1" customWidth="1"/>
    <col min="14043" max="14043" width="16.140625" style="716" customWidth="1"/>
    <col min="14044" max="14044" width="15" style="716" customWidth="1"/>
    <col min="14045" max="14294" width="12.42578125" style="716"/>
    <col min="14295" max="14295" width="8" style="716" customWidth="1"/>
    <col min="14296" max="14296" width="71" style="716" customWidth="1"/>
    <col min="14297" max="14297" width="14.140625" style="716" customWidth="1"/>
    <col min="14298" max="14298" width="0" style="716" hidden="1" customWidth="1"/>
    <col min="14299" max="14299" width="16.140625" style="716" customWidth="1"/>
    <col min="14300" max="14300" width="15" style="716" customWidth="1"/>
    <col min="14301" max="14550" width="12.42578125" style="716"/>
    <col min="14551" max="14551" width="8" style="716" customWidth="1"/>
    <col min="14552" max="14552" width="71" style="716" customWidth="1"/>
    <col min="14553" max="14553" width="14.140625" style="716" customWidth="1"/>
    <col min="14554" max="14554" width="0" style="716" hidden="1" customWidth="1"/>
    <col min="14555" max="14555" width="16.140625" style="716" customWidth="1"/>
    <col min="14556" max="14556" width="15" style="716" customWidth="1"/>
    <col min="14557" max="14806" width="12.42578125" style="716"/>
    <col min="14807" max="14807" width="8" style="716" customWidth="1"/>
    <col min="14808" max="14808" width="71" style="716" customWidth="1"/>
    <col min="14809" max="14809" width="14.140625" style="716" customWidth="1"/>
    <col min="14810" max="14810" width="0" style="716" hidden="1" customWidth="1"/>
    <col min="14811" max="14811" width="16.140625" style="716" customWidth="1"/>
    <col min="14812" max="14812" width="15" style="716" customWidth="1"/>
    <col min="14813" max="15062" width="12.42578125" style="716"/>
    <col min="15063" max="15063" width="8" style="716" customWidth="1"/>
    <col min="15064" max="15064" width="71" style="716" customWidth="1"/>
    <col min="15065" max="15065" width="14.140625" style="716" customWidth="1"/>
    <col min="15066" max="15066" width="0" style="716" hidden="1" customWidth="1"/>
    <col min="15067" max="15067" width="16.140625" style="716" customWidth="1"/>
    <col min="15068" max="15068" width="15" style="716" customWidth="1"/>
    <col min="15069" max="15318" width="12.42578125" style="716"/>
    <col min="15319" max="15319" width="8" style="716" customWidth="1"/>
    <col min="15320" max="15320" width="71" style="716" customWidth="1"/>
    <col min="15321" max="15321" width="14.140625" style="716" customWidth="1"/>
    <col min="15322" max="15322" width="0" style="716" hidden="1" customWidth="1"/>
    <col min="15323" max="15323" width="16.140625" style="716" customWidth="1"/>
    <col min="15324" max="15324" width="15" style="716" customWidth="1"/>
    <col min="15325" max="15574" width="12.42578125" style="716"/>
    <col min="15575" max="15575" width="8" style="716" customWidth="1"/>
    <col min="15576" max="15576" width="71" style="716" customWidth="1"/>
    <col min="15577" max="15577" width="14.140625" style="716" customWidth="1"/>
    <col min="15578" max="15578" width="0" style="716" hidden="1" customWidth="1"/>
    <col min="15579" max="15579" width="16.140625" style="716" customWidth="1"/>
    <col min="15580" max="15580" width="15" style="716" customWidth="1"/>
    <col min="15581" max="15830" width="12.42578125" style="716"/>
    <col min="15831" max="15831" width="8" style="716" customWidth="1"/>
    <col min="15832" max="15832" width="71" style="716" customWidth="1"/>
    <col min="15833" max="15833" width="14.140625" style="716" customWidth="1"/>
    <col min="15834" max="15834" width="0" style="716" hidden="1" customWidth="1"/>
    <col min="15835" max="15835" width="16.140625" style="716" customWidth="1"/>
    <col min="15836" max="15836" width="15" style="716" customWidth="1"/>
    <col min="15837" max="16086" width="12.42578125" style="716"/>
    <col min="16087" max="16087" width="8" style="716" customWidth="1"/>
    <col min="16088" max="16088" width="71" style="716" customWidth="1"/>
    <col min="16089" max="16089" width="14.140625" style="716" customWidth="1"/>
    <col min="16090" max="16090" width="0" style="716" hidden="1" customWidth="1"/>
    <col min="16091" max="16091" width="16.140625" style="716" customWidth="1"/>
    <col min="16092" max="16092" width="15" style="716" customWidth="1"/>
    <col min="16093" max="16384" width="12.42578125" style="716"/>
  </cols>
  <sheetData>
    <row r="1" spans="1:5" ht="15.75" x14ac:dyDescent="0.2">
      <c r="B1" s="717" t="s">
        <v>2919</v>
      </c>
      <c r="C1" s="717"/>
    </row>
    <row r="2" spans="1:5" ht="15.75" x14ac:dyDescent="0.2">
      <c r="B2" s="718"/>
      <c r="C2" s="716"/>
    </row>
    <row r="3" spans="1:5" ht="15.75" x14ac:dyDescent="0.2">
      <c r="B3" s="717" t="s">
        <v>2920</v>
      </c>
      <c r="C3" s="717"/>
    </row>
    <row r="4" spans="1:5" ht="15.75" x14ac:dyDescent="0.2">
      <c r="B4" s="718"/>
      <c r="C4" s="716"/>
    </row>
    <row r="5" spans="1:5" ht="15.75" x14ac:dyDescent="0.2">
      <c r="B5" s="719" t="s">
        <v>2921</v>
      </c>
      <c r="C5" s="719"/>
    </row>
    <row r="6" spans="1:5" ht="15.75" x14ac:dyDescent="0.2">
      <c r="B6" s="720"/>
      <c r="C6" s="716"/>
    </row>
    <row r="7" spans="1:5" ht="15.75" x14ac:dyDescent="0.2">
      <c r="B7" s="717" t="s">
        <v>2922</v>
      </c>
      <c r="C7" s="717"/>
    </row>
    <row r="8" spans="1:5" ht="15.75" x14ac:dyDescent="0.2">
      <c r="B8" s="721" t="s">
        <v>2923</v>
      </c>
      <c r="C8" s="721"/>
    </row>
    <row r="9" spans="1:5" ht="15.75" x14ac:dyDescent="0.2">
      <c r="B9" s="722"/>
    </row>
    <row r="10" spans="1:5" ht="18.75" thickBot="1" x14ac:dyDescent="0.3">
      <c r="A10" s="723"/>
      <c r="B10" s="724"/>
      <c r="C10" s="725"/>
      <c r="D10" s="726"/>
      <c r="E10" s="726"/>
    </row>
    <row r="11" spans="1:5" ht="16.5" thickBot="1" x14ac:dyDescent="0.3">
      <c r="A11" s="727" t="s">
        <v>2924</v>
      </c>
      <c r="B11" s="728" t="s">
        <v>2925</v>
      </c>
      <c r="C11" s="729" t="s">
        <v>2926</v>
      </c>
      <c r="D11" s="729" t="s">
        <v>2926</v>
      </c>
      <c r="E11" s="729" t="s">
        <v>2927</v>
      </c>
    </row>
    <row r="12" spans="1:5" ht="15.75" x14ac:dyDescent="0.25">
      <c r="A12" s="730"/>
      <c r="B12" s="731" t="s">
        <v>2928</v>
      </c>
      <c r="C12" s="732"/>
      <c r="D12" s="730"/>
      <c r="E12" s="730"/>
    </row>
    <row r="13" spans="1:5" x14ac:dyDescent="0.2">
      <c r="A13" s="733">
        <v>12</v>
      </c>
      <c r="B13" s="734" t="s">
        <v>46</v>
      </c>
      <c r="C13" s="735">
        <f>SUMIFS(Summary!$J$89:$J$97,Summary!$B$89:$B$97,'Appr Schdl'!A13)</f>
        <v>2480800</v>
      </c>
      <c r="D13" s="736"/>
      <c r="E13" s="736"/>
    </row>
    <row r="14" spans="1:5" x14ac:dyDescent="0.2">
      <c r="A14" s="733">
        <v>15</v>
      </c>
      <c r="B14" s="737" t="s">
        <v>48</v>
      </c>
      <c r="C14" s="735">
        <f>SUMIFS(Summary!$J$89:$J$97,Summary!$B$89:$B$97,'Appr Schdl'!A14)</f>
        <v>4699400</v>
      </c>
      <c r="D14" s="736"/>
      <c r="E14" s="736"/>
    </row>
    <row r="15" spans="1:5" hidden="1" x14ac:dyDescent="0.2">
      <c r="A15" s="733">
        <v>17</v>
      </c>
      <c r="B15" s="737" t="s">
        <v>49</v>
      </c>
      <c r="C15" s="735">
        <f>SUMIFS(Summary!$J$89:$J$97,Summary!$B$89:$B$97,'Appr Schdl'!A15)</f>
        <v>0</v>
      </c>
      <c r="D15" s="736"/>
      <c r="E15" s="736"/>
    </row>
    <row r="16" spans="1:5" x14ac:dyDescent="0.2">
      <c r="A16" s="733">
        <v>20</v>
      </c>
      <c r="B16" s="737" t="s">
        <v>64</v>
      </c>
      <c r="C16" s="735">
        <f>SUMIFS(Summary!$J$89:$J$97,Summary!$B$89:$B$97,'Appr Schdl'!A16)</f>
        <v>15034800</v>
      </c>
      <c r="D16" s="736"/>
      <c r="E16" s="736"/>
    </row>
    <row r="17" spans="1:5" x14ac:dyDescent="0.2">
      <c r="A17" s="733">
        <v>30</v>
      </c>
      <c r="B17" s="737" t="s">
        <v>65</v>
      </c>
      <c r="C17" s="735">
        <f>SUMIFS(Summary!$J$89:$J$97,Summary!$B$89:$B$97,'Appr Schdl'!A17)</f>
        <v>3070400</v>
      </c>
      <c r="D17" s="736"/>
      <c r="E17" s="736"/>
    </row>
    <row r="18" spans="1:5" x14ac:dyDescent="0.2">
      <c r="A18" s="733">
        <v>35</v>
      </c>
      <c r="B18" s="737" t="s">
        <v>66</v>
      </c>
      <c r="C18" s="735">
        <f>SUMIFS(Summary!$J$89:$J$97,Summary!$B$89:$B$97,'Appr Schdl'!A18)</f>
        <v>13088900</v>
      </c>
      <c r="D18" s="736"/>
      <c r="E18" s="736"/>
    </row>
    <row r="19" spans="1:5" hidden="1" x14ac:dyDescent="0.2">
      <c r="A19" s="733">
        <v>40</v>
      </c>
      <c r="B19" s="737" t="s">
        <v>67</v>
      </c>
      <c r="C19" s="735">
        <f>SUMIFS(Summary!$J$89:$J$97,Summary!$B$89:$B$97,'Appr Schdl'!A19)</f>
        <v>0</v>
      </c>
      <c r="D19" s="736"/>
      <c r="E19" s="736"/>
    </row>
    <row r="20" spans="1:5" x14ac:dyDescent="0.2">
      <c r="A20" s="738">
        <v>45</v>
      </c>
      <c r="B20" s="716" t="s">
        <v>68</v>
      </c>
      <c r="C20" s="735">
        <f>SUMIFS(Summary!$J$89:$J$97,Summary!$B$89:$B$97,'Appr Schdl'!A20)</f>
        <v>393200</v>
      </c>
      <c r="D20" s="739"/>
      <c r="E20" s="739"/>
    </row>
    <row r="21" spans="1:5" ht="16.5" thickBot="1" x14ac:dyDescent="0.3">
      <c r="B21" s="740" t="s">
        <v>2929</v>
      </c>
      <c r="C21" s="741"/>
      <c r="D21" s="742">
        <v>0</v>
      </c>
      <c r="E21" s="741">
        <f>SUM(C13:D20)</f>
        <v>38767500</v>
      </c>
    </row>
    <row r="22" spans="1:5" ht="15.75" thickTop="1" x14ac:dyDescent="0.2">
      <c r="C22" s="739"/>
      <c r="D22" s="739"/>
      <c r="E22" s="739"/>
    </row>
    <row r="23" spans="1:5" ht="18" x14ac:dyDescent="0.25">
      <c r="A23" s="743"/>
      <c r="B23" s="744" t="s">
        <v>2930</v>
      </c>
      <c r="C23" s="736"/>
      <c r="D23" s="736"/>
      <c r="E23" s="736"/>
    </row>
    <row r="24" spans="1:5" x14ac:dyDescent="0.2">
      <c r="A24" s="733" t="s">
        <v>36</v>
      </c>
      <c r="B24" s="734" t="s">
        <v>58</v>
      </c>
      <c r="C24" s="735">
        <f>SUMIFS(Summary!$J$102:$J$116,Summary!$B$102:$B$116,'Appr Schdl'!A24)</f>
        <v>6266700</v>
      </c>
      <c r="D24" s="736">
        <v>2633040</v>
      </c>
      <c r="E24" s="736"/>
    </row>
    <row r="25" spans="1:5" x14ac:dyDescent="0.2">
      <c r="A25" s="733" t="s">
        <v>38</v>
      </c>
      <c r="B25" s="734" t="s">
        <v>39</v>
      </c>
      <c r="C25" s="735">
        <f>SUMIFS(Summary!$J$102:$J$116,Summary!$B$102:$B$116,'Appr Schdl'!A25)</f>
        <v>1739100</v>
      </c>
      <c r="D25" s="736">
        <v>393970</v>
      </c>
      <c r="E25" s="736"/>
    </row>
    <row r="26" spans="1:5" x14ac:dyDescent="0.2">
      <c r="A26" s="733" t="s">
        <v>40</v>
      </c>
      <c r="B26" s="734" t="s">
        <v>59</v>
      </c>
      <c r="C26" s="735">
        <f>SUMIFS(Summary!$J$102:$J$116,Summary!$B$102:$B$116,'Appr Schdl'!A26)</f>
        <v>339200</v>
      </c>
      <c r="D26" s="736">
        <v>169100</v>
      </c>
      <c r="E26" s="736"/>
    </row>
    <row r="27" spans="1:5" x14ac:dyDescent="0.2">
      <c r="A27" s="733" t="s">
        <v>42</v>
      </c>
      <c r="B27" s="734" t="s">
        <v>43</v>
      </c>
      <c r="C27" s="735">
        <f>SUMIFS(Summary!$J$102:$J$116,Summary!$B$102:$B$116,'Appr Schdl'!A27)</f>
        <v>712900</v>
      </c>
      <c r="D27" s="736">
        <v>465090</v>
      </c>
      <c r="E27" s="736"/>
    </row>
    <row r="28" spans="1:5" x14ac:dyDescent="0.2">
      <c r="A28" s="733">
        <v>10</v>
      </c>
      <c r="B28" s="734" t="s">
        <v>44</v>
      </c>
      <c r="C28" s="735">
        <f>SUMIFS(Summary!$J$102:$J$116,Summary!$B$102:$B$116,'Appr Schdl'!A28)</f>
        <v>1473400</v>
      </c>
      <c r="D28" s="736">
        <v>501810</v>
      </c>
      <c r="E28" s="736"/>
    </row>
    <row r="29" spans="1:5" x14ac:dyDescent="0.2">
      <c r="A29" s="733">
        <v>11</v>
      </c>
      <c r="B29" s="734" t="s">
        <v>45</v>
      </c>
      <c r="C29" s="735">
        <f>SUMIFS(Summary!$J$102:$J$116,Summary!$B$102:$B$116,'Appr Schdl'!A29)</f>
        <v>1258000</v>
      </c>
      <c r="D29" s="736"/>
      <c r="E29" s="736"/>
    </row>
    <row r="30" spans="1:5" x14ac:dyDescent="0.2">
      <c r="A30" s="733">
        <v>12</v>
      </c>
      <c r="B30" s="734" t="s">
        <v>46</v>
      </c>
      <c r="C30" s="735">
        <f>SUMIFS(Summary!$J$102:$J$116,Summary!$B$102:$B$116,'Appr Schdl'!A30)</f>
        <v>31387900</v>
      </c>
      <c r="D30" s="736">
        <v>459350</v>
      </c>
      <c r="E30" s="736"/>
    </row>
    <row r="31" spans="1:5" x14ac:dyDescent="0.2">
      <c r="A31" s="733">
        <v>13</v>
      </c>
      <c r="B31" s="734" t="s">
        <v>47</v>
      </c>
      <c r="C31" s="735">
        <f>SUMIFS(Summary!$J$102:$J$116,Summary!$B$102:$B$116,'Appr Schdl'!A31)</f>
        <v>649200</v>
      </c>
      <c r="D31" s="736"/>
      <c r="E31" s="736"/>
    </row>
    <row r="32" spans="1:5" x14ac:dyDescent="0.2">
      <c r="A32" s="733">
        <v>15</v>
      </c>
      <c r="B32" s="734" t="s">
        <v>48</v>
      </c>
      <c r="C32" s="735">
        <f>SUMIFS(Summary!$J$102:$J$116,Summary!$B$102:$B$116,'Appr Schdl'!A32)</f>
        <v>11757500</v>
      </c>
      <c r="D32" s="736">
        <v>2245020</v>
      </c>
      <c r="E32" s="736"/>
    </row>
    <row r="33" spans="1:5" hidden="1" x14ac:dyDescent="0.2">
      <c r="A33" s="733">
        <v>17</v>
      </c>
      <c r="B33" s="734" t="s">
        <v>49</v>
      </c>
      <c r="C33" s="735">
        <f>SUMIFS(Summary!$J$102:$J$116,Summary!$B$102:$B$116,'Appr Schdl'!A33)</f>
        <v>0</v>
      </c>
      <c r="D33" s="736">
        <v>3386880</v>
      </c>
      <c r="E33" s="736"/>
    </row>
    <row r="34" spans="1:5" x14ac:dyDescent="0.2">
      <c r="A34" s="733">
        <v>20</v>
      </c>
      <c r="B34" s="734" t="s">
        <v>50</v>
      </c>
      <c r="C34" s="735">
        <f>SUMIFS(Summary!$J$102:$J$116,Summary!$B$102:$B$116,'Appr Schdl'!A34)</f>
        <v>12661800</v>
      </c>
      <c r="D34" s="736">
        <v>1543590</v>
      </c>
      <c r="E34" s="736"/>
    </row>
    <row r="35" spans="1:5" x14ac:dyDescent="0.2">
      <c r="A35" s="733">
        <v>30</v>
      </c>
      <c r="B35" s="734" t="s">
        <v>65</v>
      </c>
      <c r="C35" s="735">
        <f>SUMIFS(Summary!$J$102:$J$116,Summary!$B$102:$B$116,'Appr Schdl'!A35)</f>
        <v>6418100</v>
      </c>
      <c r="D35" s="736"/>
      <c r="E35" s="736"/>
    </row>
    <row r="36" spans="1:5" x14ac:dyDescent="0.2">
      <c r="A36" s="733">
        <v>35</v>
      </c>
      <c r="B36" s="734" t="s">
        <v>66</v>
      </c>
      <c r="C36" s="735">
        <f>SUMIFS(Summary!$J$102:$J$116,Summary!$B$102:$B$116,'Appr Schdl'!A36)</f>
        <v>19711400</v>
      </c>
      <c r="D36" s="736"/>
      <c r="E36" s="736"/>
    </row>
    <row r="37" spans="1:5" x14ac:dyDescent="0.2">
      <c r="A37" s="733">
        <v>40</v>
      </c>
      <c r="B37" s="734" t="s">
        <v>67</v>
      </c>
      <c r="C37" s="735">
        <f>SUMIFS(Summary!$J$102:$J$116,Summary!$B$102:$B$116,'Appr Schdl'!A37)</f>
        <v>10877300</v>
      </c>
      <c r="D37" s="736"/>
      <c r="E37" s="736"/>
    </row>
    <row r="38" spans="1:5" x14ac:dyDescent="0.2">
      <c r="A38" s="733">
        <v>45</v>
      </c>
      <c r="B38" s="734" t="s">
        <v>68</v>
      </c>
      <c r="C38" s="735">
        <f>SUMIFS(Summary!$J$102:$J$116,Summary!$B$102:$B$116,'Appr Schdl'!A38)</f>
        <v>21350300</v>
      </c>
      <c r="D38" s="736"/>
      <c r="E38" s="736"/>
    </row>
    <row r="39" spans="1:5" ht="16.5" thickBot="1" x14ac:dyDescent="0.3">
      <c r="B39" s="745" t="s">
        <v>2931</v>
      </c>
      <c r="C39" s="746"/>
      <c r="D39" s="747">
        <v>54915119</v>
      </c>
      <c r="E39" s="748">
        <f>SUM(C24:C38)</f>
        <v>126602800</v>
      </c>
    </row>
    <row r="40" spans="1:5" ht="15.75" thickTop="1" x14ac:dyDescent="0.2">
      <c r="A40" s="749"/>
      <c r="B40" s="749"/>
      <c r="C40" s="750"/>
      <c r="D40" s="750"/>
      <c r="E40" s="750"/>
    </row>
    <row r="41" spans="1:5" ht="18" x14ac:dyDescent="0.25">
      <c r="B41" s="751" t="s">
        <v>2932</v>
      </c>
      <c r="C41" s="739"/>
      <c r="D41" s="739"/>
      <c r="E41" s="739"/>
    </row>
    <row r="42" spans="1:5" ht="15.75" x14ac:dyDescent="0.25">
      <c r="B42" s="752" t="s">
        <v>2933</v>
      </c>
      <c r="C42" s="739"/>
      <c r="D42" s="739"/>
      <c r="E42" s="753">
        <f>E21</f>
        <v>38767500</v>
      </c>
    </row>
    <row r="43" spans="1:5" ht="15.75" x14ac:dyDescent="0.25">
      <c r="B43" s="752" t="s">
        <v>2930</v>
      </c>
      <c r="C43" s="739"/>
      <c r="D43" s="739"/>
      <c r="E43" s="753">
        <f>E39</f>
        <v>126602800</v>
      </c>
    </row>
    <row r="44" spans="1:5" ht="16.5" thickBot="1" x14ac:dyDescent="0.3">
      <c r="B44" s="754" t="s">
        <v>2934</v>
      </c>
      <c r="C44" s="753"/>
      <c r="D44" s="753"/>
      <c r="E44" s="755">
        <f>SUM(E42:E43)</f>
        <v>165370300</v>
      </c>
    </row>
    <row r="45" spans="1:5" x14ac:dyDescent="0.2">
      <c r="E45" s="730"/>
    </row>
  </sheetData>
  <mergeCells count="5">
    <mergeCell ref="B1:C1"/>
    <mergeCell ref="B3:C3"/>
    <mergeCell ref="B5:C5"/>
    <mergeCell ref="B7:C7"/>
    <mergeCell ref="B8:C8"/>
  </mergeCells>
  <printOptions horizontalCentered="1"/>
  <pageMargins left="0.15" right="0.15" top="0.15" bottom="0.25" header="0" footer="0"/>
  <pageSetup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 sqref="B1"/>
    </sheetView>
  </sheetViews>
  <sheetFormatPr defaultColWidth="12.42578125" defaultRowHeight="15" x14ac:dyDescent="0.2"/>
  <cols>
    <col min="1" max="1" width="11.7109375" style="716" customWidth="1"/>
    <col min="2" max="2" width="65.42578125" style="716" customWidth="1"/>
    <col min="3" max="3" width="18.85546875" style="716" customWidth="1"/>
    <col min="4" max="4" width="17.28515625" style="716" customWidth="1"/>
    <col min="5" max="256" width="12.42578125" style="716"/>
    <col min="257" max="257" width="11.7109375" style="716" customWidth="1"/>
    <col min="258" max="258" width="65.42578125" style="716" customWidth="1"/>
    <col min="259" max="259" width="18.85546875" style="716" customWidth="1"/>
    <col min="260" max="260" width="17.28515625" style="716" customWidth="1"/>
    <col min="261" max="512" width="12.42578125" style="716"/>
    <col min="513" max="513" width="11.7109375" style="716" customWidth="1"/>
    <col min="514" max="514" width="65.42578125" style="716" customWidth="1"/>
    <col min="515" max="515" width="18.85546875" style="716" customWidth="1"/>
    <col min="516" max="516" width="17.28515625" style="716" customWidth="1"/>
    <col min="517" max="768" width="12.42578125" style="716"/>
    <col min="769" max="769" width="11.7109375" style="716" customWidth="1"/>
    <col min="770" max="770" width="65.42578125" style="716" customWidth="1"/>
    <col min="771" max="771" width="18.85546875" style="716" customWidth="1"/>
    <col min="772" max="772" width="17.28515625" style="716" customWidth="1"/>
    <col min="773" max="1024" width="12.42578125" style="716"/>
    <col min="1025" max="1025" width="11.7109375" style="716" customWidth="1"/>
    <col min="1026" max="1026" width="65.42578125" style="716" customWidth="1"/>
    <col min="1027" max="1027" width="18.85546875" style="716" customWidth="1"/>
    <col min="1028" max="1028" width="17.28515625" style="716" customWidth="1"/>
    <col min="1029" max="1280" width="12.42578125" style="716"/>
    <col min="1281" max="1281" width="11.7109375" style="716" customWidth="1"/>
    <col min="1282" max="1282" width="65.42578125" style="716" customWidth="1"/>
    <col min="1283" max="1283" width="18.85546875" style="716" customWidth="1"/>
    <col min="1284" max="1284" width="17.28515625" style="716" customWidth="1"/>
    <col min="1285" max="1536" width="12.42578125" style="716"/>
    <col min="1537" max="1537" width="11.7109375" style="716" customWidth="1"/>
    <col min="1538" max="1538" width="65.42578125" style="716" customWidth="1"/>
    <col min="1539" max="1539" width="18.85546875" style="716" customWidth="1"/>
    <col min="1540" max="1540" width="17.28515625" style="716" customWidth="1"/>
    <col min="1541" max="1792" width="12.42578125" style="716"/>
    <col min="1793" max="1793" width="11.7109375" style="716" customWidth="1"/>
    <col min="1794" max="1794" width="65.42578125" style="716" customWidth="1"/>
    <col min="1795" max="1795" width="18.85546875" style="716" customWidth="1"/>
    <col min="1796" max="1796" width="17.28515625" style="716" customWidth="1"/>
    <col min="1797" max="2048" width="12.42578125" style="716"/>
    <col min="2049" max="2049" width="11.7109375" style="716" customWidth="1"/>
    <col min="2050" max="2050" width="65.42578125" style="716" customWidth="1"/>
    <col min="2051" max="2051" width="18.85546875" style="716" customWidth="1"/>
    <col min="2052" max="2052" width="17.28515625" style="716" customWidth="1"/>
    <col min="2053" max="2304" width="12.42578125" style="716"/>
    <col min="2305" max="2305" width="11.7109375" style="716" customWidth="1"/>
    <col min="2306" max="2306" width="65.42578125" style="716" customWidth="1"/>
    <col min="2307" max="2307" width="18.85546875" style="716" customWidth="1"/>
    <col min="2308" max="2308" width="17.28515625" style="716" customWidth="1"/>
    <col min="2309" max="2560" width="12.42578125" style="716"/>
    <col min="2561" max="2561" width="11.7109375" style="716" customWidth="1"/>
    <col min="2562" max="2562" width="65.42578125" style="716" customWidth="1"/>
    <col min="2563" max="2563" width="18.85546875" style="716" customWidth="1"/>
    <col min="2564" max="2564" width="17.28515625" style="716" customWidth="1"/>
    <col min="2565" max="2816" width="12.42578125" style="716"/>
    <col min="2817" max="2817" width="11.7109375" style="716" customWidth="1"/>
    <col min="2818" max="2818" width="65.42578125" style="716" customWidth="1"/>
    <col min="2819" max="2819" width="18.85546875" style="716" customWidth="1"/>
    <col min="2820" max="2820" width="17.28515625" style="716" customWidth="1"/>
    <col min="2821" max="3072" width="12.42578125" style="716"/>
    <col min="3073" max="3073" width="11.7109375" style="716" customWidth="1"/>
    <col min="3074" max="3074" width="65.42578125" style="716" customWidth="1"/>
    <col min="3075" max="3075" width="18.85546875" style="716" customWidth="1"/>
    <col min="3076" max="3076" width="17.28515625" style="716" customWidth="1"/>
    <col min="3077" max="3328" width="12.42578125" style="716"/>
    <col min="3329" max="3329" width="11.7109375" style="716" customWidth="1"/>
    <col min="3330" max="3330" width="65.42578125" style="716" customWidth="1"/>
    <col min="3331" max="3331" width="18.85546875" style="716" customWidth="1"/>
    <col min="3332" max="3332" width="17.28515625" style="716" customWidth="1"/>
    <col min="3333" max="3584" width="12.42578125" style="716"/>
    <col min="3585" max="3585" width="11.7109375" style="716" customWidth="1"/>
    <col min="3586" max="3586" width="65.42578125" style="716" customWidth="1"/>
    <col min="3587" max="3587" width="18.85546875" style="716" customWidth="1"/>
    <col min="3588" max="3588" width="17.28515625" style="716" customWidth="1"/>
    <col min="3589" max="3840" width="12.42578125" style="716"/>
    <col min="3841" max="3841" width="11.7109375" style="716" customWidth="1"/>
    <col min="3842" max="3842" width="65.42578125" style="716" customWidth="1"/>
    <col min="3843" max="3843" width="18.85546875" style="716" customWidth="1"/>
    <col min="3844" max="3844" width="17.28515625" style="716" customWidth="1"/>
    <col min="3845" max="4096" width="12.42578125" style="716"/>
    <col min="4097" max="4097" width="11.7109375" style="716" customWidth="1"/>
    <col min="4098" max="4098" width="65.42578125" style="716" customWidth="1"/>
    <col min="4099" max="4099" width="18.85546875" style="716" customWidth="1"/>
    <col min="4100" max="4100" width="17.28515625" style="716" customWidth="1"/>
    <col min="4101" max="4352" width="12.42578125" style="716"/>
    <col min="4353" max="4353" width="11.7109375" style="716" customWidth="1"/>
    <col min="4354" max="4354" width="65.42578125" style="716" customWidth="1"/>
    <col min="4355" max="4355" width="18.85546875" style="716" customWidth="1"/>
    <col min="4356" max="4356" width="17.28515625" style="716" customWidth="1"/>
    <col min="4357" max="4608" width="12.42578125" style="716"/>
    <col min="4609" max="4609" width="11.7109375" style="716" customWidth="1"/>
    <col min="4610" max="4610" width="65.42578125" style="716" customWidth="1"/>
    <col min="4611" max="4611" width="18.85546875" style="716" customWidth="1"/>
    <col min="4612" max="4612" width="17.28515625" style="716" customWidth="1"/>
    <col min="4613" max="4864" width="12.42578125" style="716"/>
    <col min="4865" max="4865" width="11.7109375" style="716" customWidth="1"/>
    <col min="4866" max="4866" width="65.42578125" style="716" customWidth="1"/>
    <col min="4867" max="4867" width="18.85546875" style="716" customWidth="1"/>
    <col min="4868" max="4868" width="17.28515625" style="716" customWidth="1"/>
    <col min="4869" max="5120" width="12.42578125" style="716"/>
    <col min="5121" max="5121" width="11.7109375" style="716" customWidth="1"/>
    <col min="5122" max="5122" width="65.42578125" style="716" customWidth="1"/>
    <col min="5123" max="5123" width="18.85546875" style="716" customWidth="1"/>
    <col min="5124" max="5124" width="17.28515625" style="716" customWidth="1"/>
    <col min="5125" max="5376" width="12.42578125" style="716"/>
    <col min="5377" max="5377" width="11.7109375" style="716" customWidth="1"/>
    <col min="5378" max="5378" width="65.42578125" style="716" customWidth="1"/>
    <col min="5379" max="5379" width="18.85546875" style="716" customWidth="1"/>
    <col min="5380" max="5380" width="17.28515625" style="716" customWidth="1"/>
    <col min="5381" max="5632" width="12.42578125" style="716"/>
    <col min="5633" max="5633" width="11.7109375" style="716" customWidth="1"/>
    <col min="5634" max="5634" width="65.42578125" style="716" customWidth="1"/>
    <col min="5635" max="5635" width="18.85546875" style="716" customWidth="1"/>
    <col min="5636" max="5636" width="17.28515625" style="716" customWidth="1"/>
    <col min="5637" max="5888" width="12.42578125" style="716"/>
    <col min="5889" max="5889" width="11.7109375" style="716" customWidth="1"/>
    <col min="5890" max="5890" width="65.42578125" style="716" customWidth="1"/>
    <col min="5891" max="5891" width="18.85546875" style="716" customWidth="1"/>
    <col min="5892" max="5892" width="17.28515625" style="716" customWidth="1"/>
    <col min="5893" max="6144" width="12.42578125" style="716"/>
    <col min="6145" max="6145" width="11.7109375" style="716" customWidth="1"/>
    <col min="6146" max="6146" width="65.42578125" style="716" customWidth="1"/>
    <col min="6147" max="6147" width="18.85546875" style="716" customWidth="1"/>
    <col min="6148" max="6148" width="17.28515625" style="716" customWidth="1"/>
    <col min="6149" max="6400" width="12.42578125" style="716"/>
    <col min="6401" max="6401" width="11.7109375" style="716" customWidth="1"/>
    <col min="6402" max="6402" width="65.42578125" style="716" customWidth="1"/>
    <col min="6403" max="6403" width="18.85546875" style="716" customWidth="1"/>
    <col min="6404" max="6404" width="17.28515625" style="716" customWidth="1"/>
    <col min="6405" max="6656" width="12.42578125" style="716"/>
    <col min="6657" max="6657" width="11.7109375" style="716" customWidth="1"/>
    <col min="6658" max="6658" width="65.42578125" style="716" customWidth="1"/>
    <col min="6659" max="6659" width="18.85546875" style="716" customWidth="1"/>
    <col min="6660" max="6660" width="17.28515625" style="716" customWidth="1"/>
    <col min="6661" max="6912" width="12.42578125" style="716"/>
    <col min="6913" max="6913" width="11.7109375" style="716" customWidth="1"/>
    <col min="6914" max="6914" width="65.42578125" style="716" customWidth="1"/>
    <col min="6915" max="6915" width="18.85546875" style="716" customWidth="1"/>
    <col min="6916" max="6916" width="17.28515625" style="716" customWidth="1"/>
    <col min="6917" max="7168" width="12.42578125" style="716"/>
    <col min="7169" max="7169" width="11.7109375" style="716" customWidth="1"/>
    <col min="7170" max="7170" width="65.42578125" style="716" customWidth="1"/>
    <col min="7171" max="7171" width="18.85546875" style="716" customWidth="1"/>
    <col min="7172" max="7172" width="17.28515625" style="716" customWidth="1"/>
    <col min="7173" max="7424" width="12.42578125" style="716"/>
    <col min="7425" max="7425" width="11.7109375" style="716" customWidth="1"/>
    <col min="7426" max="7426" width="65.42578125" style="716" customWidth="1"/>
    <col min="7427" max="7427" width="18.85546875" style="716" customWidth="1"/>
    <col min="7428" max="7428" width="17.28515625" style="716" customWidth="1"/>
    <col min="7429" max="7680" width="12.42578125" style="716"/>
    <col min="7681" max="7681" width="11.7109375" style="716" customWidth="1"/>
    <col min="7682" max="7682" width="65.42578125" style="716" customWidth="1"/>
    <col min="7683" max="7683" width="18.85546875" style="716" customWidth="1"/>
    <col min="7684" max="7684" width="17.28515625" style="716" customWidth="1"/>
    <col min="7685" max="7936" width="12.42578125" style="716"/>
    <col min="7937" max="7937" width="11.7109375" style="716" customWidth="1"/>
    <col min="7938" max="7938" width="65.42578125" style="716" customWidth="1"/>
    <col min="7939" max="7939" width="18.85546875" style="716" customWidth="1"/>
    <col min="7940" max="7940" width="17.28515625" style="716" customWidth="1"/>
    <col min="7941" max="8192" width="12.42578125" style="716"/>
    <col min="8193" max="8193" width="11.7109375" style="716" customWidth="1"/>
    <col min="8194" max="8194" width="65.42578125" style="716" customWidth="1"/>
    <col min="8195" max="8195" width="18.85546875" style="716" customWidth="1"/>
    <col min="8196" max="8196" width="17.28515625" style="716" customWidth="1"/>
    <col min="8197" max="8448" width="12.42578125" style="716"/>
    <col min="8449" max="8449" width="11.7109375" style="716" customWidth="1"/>
    <col min="8450" max="8450" width="65.42578125" style="716" customWidth="1"/>
    <col min="8451" max="8451" width="18.85546875" style="716" customWidth="1"/>
    <col min="8452" max="8452" width="17.28515625" style="716" customWidth="1"/>
    <col min="8453" max="8704" width="12.42578125" style="716"/>
    <col min="8705" max="8705" width="11.7109375" style="716" customWidth="1"/>
    <col min="8706" max="8706" width="65.42578125" style="716" customWidth="1"/>
    <col min="8707" max="8707" width="18.85546875" style="716" customWidth="1"/>
    <col min="8708" max="8708" width="17.28515625" style="716" customWidth="1"/>
    <col min="8709" max="8960" width="12.42578125" style="716"/>
    <col min="8961" max="8961" width="11.7109375" style="716" customWidth="1"/>
    <col min="8962" max="8962" width="65.42578125" style="716" customWidth="1"/>
    <col min="8963" max="8963" width="18.85546875" style="716" customWidth="1"/>
    <col min="8964" max="8964" width="17.28515625" style="716" customWidth="1"/>
    <col min="8965" max="9216" width="12.42578125" style="716"/>
    <col min="9217" max="9217" width="11.7109375" style="716" customWidth="1"/>
    <col min="9218" max="9218" width="65.42578125" style="716" customWidth="1"/>
    <col min="9219" max="9219" width="18.85546875" style="716" customWidth="1"/>
    <col min="9220" max="9220" width="17.28515625" style="716" customWidth="1"/>
    <col min="9221" max="9472" width="12.42578125" style="716"/>
    <col min="9473" max="9473" width="11.7109375" style="716" customWidth="1"/>
    <col min="9474" max="9474" width="65.42578125" style="716" customWidth="1"/>
    <col min="9475" max="9475" width="18.85546875" style="716" customWidth="1"/>
    <col min="9476" max="9476" width="17.28515625" style="716" customWidth="1"/>
    <col min="9477" max="9728" width="12.42578125" style="716"/>
    <col min="9729" max="9729" width="11.7109375" style="716" customWidth="1"/>
    <col min="9730" max="9730" width="65.42578125" style="716" customWidth="1"/>
    <col min="9731" max="9731" width="18.85546875" style="716" customWidth="1"/>
    <col min="9732" max="9732" width="17.28515625" style="716" customWidth="1"/>
    <col min="9733" max="9984" width="12.42578125" style="716"/>
    <col min="9985" max="9985" width="11.7109375" style="716" customWidth="1"/>
    <col min="9986" max="9986" width="65.42578125" style="716" customWidth="1"/>
    <col min="9987" max="9987" width="18.85546875" style="716" customWidth="1"/>
    <col min="9988" max="9988" width="17.28515625" style="716" customWidth="1"/>
    <col min="9989" max="10240" width="12.42578125" style="716"/>
    <col min="10241" max="10241" width="11.7109375" style="716" customWidth="1"/>
    <col min="10242" max="10242" width="65.42578125" style="716" customWidth="1"/>
    <col min="10243" max="10243" width="18.85546875" style="716" customWidth="1"/>
    <col min="10244" max="10244" width="17.28515625" style="716" customWidth="1"/>
    <col min="10245" max="10496" width="12.42578125" style="716"/>
    <col min="10497" max="10497" width="11.7109375" style="716" customWidth="1"/>
    <col min="10498" max="10498" width="65.42578125" style="716" customWidth="1"/>
    <col min="10499" max="10499" width="18.85546875" style="716" customWidth="1"/>
    <col min="10500" max="10500" width="17.28515625" style="716" customWidth="1"/>
    <col min="10501" max="10752" width="12.42578125" style="716"/>
    <col min="10753" max="10753" width="11.7109375" style="716" customWidth="1"/>
    <col min="10754" max="10754" width="65.42578125" style="716" customWidth="1"/>
    <col min="10755" max="10755" width="18.85546875" style="716" customWidth="1"/>
    <col min="10756" max="10756" width="17.28515625" style="716" customWidth="1"/>
    <col min="10757" max="11008" width="12.42578125" style="716"/>
    <col min="11009" max="11009" width="11.7109375" style="716" customWidth="1"/>
    <col min="11010" max="11010" width="65.42578125" style="716" customWidth="1"/>
    <col min="11011" max="11011" width="18.85546875" style="716" customWidth="1"/>
    <col min="11012" max="11012" width="17.28515625" style="716" customWidth="1"/>
    <col min="11013" max="11264" width="12.42578125" style="716"/>
    <col min="11265" max="11265" width="11.7109375" style="716" customWidth="1"/>
    <col min="11266" max="11266" width="65.42578125" style="716" customWidth="1"/>
    <col min="11267" max="11267" width="18.85546875" style="716" customWidth="1"/>
    <col min="11268" max="11268" width="17.28515625" style="716" customWidth="1"/>
    <col min="11269" max="11520" width="12.42578125" style="716"/>
    <col min="11521" max="11521" width="11.7109375" style="716" customWidth="1"/>
    <col min="11522" max="11522" width="65.42578125" style="716" customWidth="1"/>
    <col min="11523" max="11523" width="18.85546875" style="716" customWidth="1"/>
    <col min="11524" max="11524" width="17.28515625" style="716" customWidth="1"/>
    <col min="11525" max="11776" width="12.42578125" style="716"/>
    <col min="11777" max="11777" width="11.7109375" style="716" customWidth="1"/>
    <col min="11778" max="11778" width="65.42578125" style="716" customWidth="1"/>
    <col min="11779" max="11779" width="18.85546875" style="716" customWidth="1"/>
    <col min="11780" max="11780" width="17.28515625" style="716" customWidth="1"/>
    <col min="11781" max="12032" width="12.42578125" style="716"/>
    <col min="12033" max="12033" width="11.7109375" style="716" customWidth="1"/>
    <col min="12034" max="12034" width="65.42578125" style="716" customWidth="1"/>
    <col min="12035" max="12035" width="18.85546875" style="716" customWidth="1"/>
    <col min="12036" max="12036" width="17.28515625" style="716" customWidth="1"/>
    <col min="12037" max="12288" width="12.42578125" style="716"/>
    <col min="12289" max="12289" width="11.7109375" style="716" customWidth="1"/>
    <col min="12290" max="12290" width="65.42578125" style="716" customWidth="1"/>
    <col min="12291" max="12291" width="18.85546875" style="716" customWidth="1"/>
    <col min="12292" max="12292" width="17.28515625" style="716" customWidth="1"/>
    <col min="12293" max="12544" width="12.42578125" style="716"/>
    <col min="12545" max="12545" width="11.7109375" style="716" customWidth="1"/>
    <col min="12546" max="12546" width="65.42578125" style="716" customWidth="1"/>
    <col min="12547" max="12547" width="18.85546875" style="716" customWidth="1"/>
    <col min="12548" max="12548" width="17.28515625" style="716" customWidth="1"/>
    <col min="12549" max="12800" width="12.42578125" style="716"/>
    <col min="12801" max="12801" width="11.7109375" style="716" customWidth="1"/>
    <col min="12802" max="12802" width="65.42578125" style="716" customWidth="1"/>
    <col min="12803" max="12803" width="18.85546875" style="716" customWidth="1"/>
    <col min="12804" max="12804" width="17.28515625" style="716" customWidth="1"/>
    <col min="12805" max="13056" width="12.42578125" style="716"/>
    <col min="13057" max="13057" width="11.7109375" style="716" customWidth="1"/>
    <col min="13058" max="13058" width="65.42578125" style="716" customWidth="1"/>
    <col min="13059" max="13059" width="18.85546875" style="716" customWidth="1"/>
    <col min="13060" max="13060" width="17.28515625" style="716" customWidth="1"/>
    <col min="13061" max="13312" width="12.42578125" style="716"/>
    <col min="13313" max="13313" width="11.7109375" style="716" customWidth="1"/>
    <col min="13314" max="13314" width="65.42578125" style="716" customWidth="1"/>
    <col min="13315" max="13315" width="18.85546875" style="716" customWidth="1"/>
    <col min="13316" max="13316" width="17.28515625" style="716" customWidth="1"/>
    <col min="13317" max="13568" width="12.42578125" style="716"/>
    <col min="13569" max="13569" width="11.7109375" style="716" customWidth="1"/>
    <col min="13570" max="13570" width="65.42578125" style="716" customWidth="1"/>
    <col min="13571" max="13571" width="18.85546875" style="716" customWidth="1"/>
    <col min="13572" max="13572" width="17.28515625" style="716" customWidth="1"/>
    <col min="13573" max="13824" width="12.42578125" style="716"/>
    <col min="13825" max="13825" width="11.7109375" style="716" customWidth="1"/>
    <col min="13826" max="13826" width="65.42578125" style="716" customWidth="1"/>
    <col min="13827" max="13827" width="18.85546875" style="716" customWidth="1"/>
    <col min="13828" max="13828" width="17.28515625" style="716" customWidth="1"/>
    <col min="13829" max="14080" width="12.42578125" style="716"/>
    <col min="14081" max="14081" width="11.7109375" style="716" customWidth="1"/>
    <col min="14082" max="14082" width="65.42578125" style="716" customWidth="1"/>
    <col min="14083" max="14083" width="18.85546875" style="716" customWidth="1"/>
    <col min="14084" max="14084" width="17.28515625" style="716" customWidth="1"/>
    <col min="14085" max="14336" width="12.42578125" style="716"/>
    <col min="14337" max="14337" width="11.7109375" style="716" customWidth="1"/>
    <col min="14338" max="14338" width="65.42578125" style="716" customWidth="1"/>
    <col min="14339" max="14339" width="18.85546875" style="716" customWidth="1"/>
    <col min="14340" max="14340" width="17.28515625" style="716" customWidth="1"/>
    <col min="14341" max="14592" width="12.42578125" style="716"/>
    <col min="14593" max="14593" width="11.7109375" style="716" customWidth="1"/>
    <col min="14594" max="14594" width="65.42578125" style="716" customWidth="1"/>
    <col min="14595" max="14595" width="18.85546875" style="716" customWidth="1"/>
    <col min="14596" max="14596" width="17.28515625" style="716" customWidth="1"/>
    <col min="14597" max="14848" width="12.42578125" style="716"/>
    <col min="14849" max="14849" width="11.7109375" style="716" customWidth="1"/>
    <col min="14850" max="14850" width="65.42578125" style="716" customWidth="1"/>
    <col min="14851" max="14851" width="18.85546875" style="716" customWidth="1"/>
    <col min="14852" max="14852" width="17.28515625" style="716" customWidth="1"/>
    <col min="14853" max="15104" width="12.42578125" style="716"/>
    <col min="15105" max="15105" width="11.7109375" style="716" customWidth="1"/>
    <col min="15106" max="15106" width="65.42578125" style="716" customWidth="1"/>
    <col min="15107" max="15107" width="18.85546875" style="716" customWidth="1"/>
    <col min="15108" max="15108" width="17.28515625" style="716" customWidth="1"/>
    <col min="15109" max="15360" width="12.42578125" style="716"/>
    <col min="15361" max="15361" width="11.7109375" style="716" customWidth="1"/>
    <col min="15362" max="15362" width="65.42578125" style="716" customWidth="1"/>
    <col min="15363" max="15363" width="18.85546875" style="716" customWidth="1"/>
    <col min="15364" max="15364" width="17.28515625" style="716" customWidth="1"/>
    <col min="15365" max="15616" width="12.42578125" style="716"/>
    <col min="15617" max="15617" width="11.7109375" style="716" customWidth="1"/>
    <col min="15618" max="15618" width="65.42578125" style="716" customWidth="1"/>
    <col min="15619" max="15619" width="18.85546875" style="716" customWidth="1"/>
    <col min="15620" max="15620" width="17.28515625" style="716" customWidth="1"/>
    <col min="15621" max="15872" width="12.42578125" style="716"/>
    <col min="15873" max="15873" width="11.7109375" style="716" customWidth="1"/>
    <col min="15874" max="15874" width="65.42578125" style="716" customWidth="1"/>
    <col min="15875" max="15875" width="18.85546875" style="716" customWidth="1"/>
    <col min="15876" max="15876" width="17.28515625" style="716" customWidth="1"/>
    <col min="15877" max="16128" width="12.42578125" style="716"/>
    <col min="16129" max="16129" width="11.7109375" style="716" customWidth="1"/>
    <col min="16130" max="16130" width="65.42578125" style="716" customWidth="1"/>
    <col min="16131" max="16131" width="18.85546875" style="716" customWidth="1"/>
    <col min="16132" max="16132" width="17.28515625" style="716" customWidth="1"/>
    <col min="16133" max="16384" width="12.42578125" style="716"/>
  </cols>
  <sheetData>
    <row r="1" spans="1:4" ht="18.75" customHeight="1" x14ac:dyDescent="0.25">
      <c r="A1" s="756" t="s">
        <v>2935</v>
      </c>
      <c r="B1" s="756"/>
      <c r="C1" s="726"/>
      <c r="D1" s="726"/>
    </row>
    <row r="2" spans="1:4" ht="21" customHeight="1" x14ac:dyDescent="0.25">
      <c r="A2" s="757"/>
      <c r="B2" s="723" t="s">
        <v>2936</v>
      </c>
      <c r="C2" s="726"/>
      <c r="D2" s="726"/>
    </row>
    <row r="3" spans="1:4" ht="24" customHeight="1" x14ac:dyDescent="0.25">
      <c r="A3" s="756" t="s">
        <v>2937</v>
      </c>
      <c r="B3" s="726"/>
      <c r="C3" s="726"/>
      <c r="D3" s="726"/>
    </row>
    <row r="4" spans="1:4" ht="48" customHeight="1" thickBot="1" x14ac:dyDescent="0.3">
      <c r="A4" s="758" t="s">
        <v>2938</v>
      </c>
      <c r="B4" s="759" t="s">
        <v>2939</v>
      </c>
      <c r="C4" s="760" t="str">
        <f>Summary!J121</f>
        <v>Budget Estimates      2016-2017</v>
      </c>
      <c r="D4" s="761" t="str">
        <f>Summary!I121</f>
        <v>Revised Estimates                 2015-2016</v>
      </c>
    </row>
    <row r="5" spans="1:4" ht="20.100000000000001" customHeight="1" x14ac:dyDescent="0.2">
      <c r="A5" s="762" t="s">
        <v>36</v>
      </c>
      <c r="B5" s="763" t="s">
        <v>58</v>
      </c>
      <c r="C5" s="764">
        <f>Summary!J122</f>
        <v>6266700</v>
      </c>
      <c r="D5" s="764">
        <f>Summary!I122</f>
        <v>5944100</v>
      </c>
    </row>
    <row r="6" spans="1:4" ht="20.100000000000001" customHeight="1" x14ac:dyDescent="0.2">
      <c r="A6" s="762" t="s">
        <v>38</v>
      </c>
      <c r="B6" s="763" t="s">
        <v>39</v>
      </c>
      <c r="C6" s="764">
        <f>Summary!J123</f>
        <v>1739100</v>
      </c>
      <c r="D6" s="764">
        <f>Summary!I123</f>
        <v>1551800</v>
      </c>
    </row>
    <row r="7" spans="1:4" ht="20.100000000000001" customHeight="1" x14ac:dyDescent="0.2">
      <c r="A7" s="762" t="s">
        <v>40</v>
      </c>
      <c r="B7" s="763" t="s">
        <v>59</v>
      </c>
      <c r="C7" s="764">
        <f>Summary!J124</f>
        <v>339200</v>
      </c>
      <c r="D7" s="764">
        <f>Summary!I124</f>
        <v>309200</v>
      </c>
    </row>
    <row r="8" spans="1:4" ht="20.100000000000001" customHeight="1" x14ac:dyDescent="0.2">
      <c r="A8" s="762" t="s">
        <v>42</v>
      </c>
      <c r="B8" s="763" t="s">
        <v>43</v>
      </c>
      <c r="C8" s="764">
        <f>Summary!J125</f>
        <v>712900</v>
      </c>
      <c r="D8" s="764">
        <f>Summary!I125</f>
        <v>626500</v>
      </c>
    </row>
    <row r="9" spans="1:4" ht="20.100000000000001" customHeight="1" x14ac:dyDescent="0.2">
      <c r="A9" s="762">
        <v>10</v>
      </c>
      <c r="B9" s="763" t="s">
        <v>44</v>
      </c>
      <c r="C9" s="764">
        <f>Summary!J126</f>
        <v>1473400</v>
      </c>
      <c r="D9" s="764">
        <f>Summary!I126</f>
        <v>2773200</v>
      </c>
    </row>
    <row r="10" spans="1:4" ht="20.100000000000001" customHeight="1" x14ac:dyDescent="0.2">
      <c r="A10" s="762">
        <v>11</v>
      </c>
      <c r="B10" s="763" t="s">
        <v>45</v>
      </c>
      <c r="C10" s="764">
        <f>Summary!J127</f>
        <v>1258000</v>
      </c>
      <c r="D10" s="764">
        <f>Summary!I127</f>
        <v>0</v>
      </c>
    </row>
    <row r="11" spans="1:4" ht="20.100000000000001" customHeight="1" x14ac:dyDescent="0.2">
      <c r="A11" s="762">
        <v>12</v>
      </c>
      <c r="B11" s="763" t="s">
        <v>46</v>
      </c>
      <c r="C11" s="764">
        <f>Summary!J128</f>
        <v>33868700</v>
      </c>
      <c r="D11" s="764">
        <f>Summary!I128</f>
        <v>32623500</v>
      </c>
    </row>
    <row r="12" spans="1:4" ht="20.100000000000001" customHeight="1" x14ac:dyDescent="0.2">
      <c r="A12" s="762">
        <v>13</v>
      </c>
      <c r="B12" s="763" t="s">
        <v>47</v>
      </c>
      <c r="C12" s="764">
        <f>Summary!J129</f>
        <v>649200</v>
      </c>
      <c r="D12" s="764">
        <f>Summary!I129</f>
        <v>524300</v>
      </c>
    </row>
    <row r="13" spans="1:4" ht="20.100000000000001" customHeight="1" x14ac:dyDescent="0.2">
      <c r="A13" s="762">
        <v>15</v>
      </c>
      <c r="B13" s="763" t="s">
        <v>48</v>
      </c>
      <c r="C13" s="764">
        <f>Summary!J130</f>
        <v>16456900</v>
      </c>
      <c r="D13" s="764">
        <f>Summary!I130</f>
        <v>22019939</v>
      </c>
    </row>
    <row r="14" spans="1:4" ht="20.100000000000001" customHeight="1" x14ac:dyDescent="0.2">
      <c r="A14" s="762">
        <v>20</v>
      </c>
      <c r="B14" s="763" t="s">
        <v>50</v>
      </c>
      <c r="C14" s="764">
        <f>Summary!J132</f>
        <v>27696600</v>
      </c>
      <c r="D14" s="764">
        <f>Summary!I132</f>
        <v>37883700</v>
      </c>
    </row>
    <row r="15" spans="1:4" ht="20.100000000000001" customHeight="1" x14ac:dyDescent="0.2">
      <c r="A15" s="762">
        <v>30</v>
      </c>
      <c r="B15" s="763" t="s">
        <v>65</v>
      </c>
      <c r="C15" s="764">
        <f>Summary!J133</f>
        <v>9488500</v>
      </c>
      <c r="D15" s="764">
        <f>Summary!I133</f>
        <v>10822200</v>
      </c>
    </row>
    <row r="16" spans="1:4" ht="20.100000000000001" customHeight="1" x14ac:dyDescent="0.2">
      <c r="A16" s="762">
        <v>35</v>
      </c>
      <c r="B16" s="763" t="s">
        <v>66</v>
      </c>
      <c r="C16" s="764">
        <f>Summary!J134</f>
        <v>32800300</v>
      </c>
      <c r="D16" s="764">
        <f>Summary!I134</f>
        <v>34151400</v>
      </c>
    </row>
    <row r="17" spans="1:4" ht="20.100000000000001" customHeight="1" x14ac:dyDescent="0.2">
      <c r="A17" s="762">
        <v>40</v>
      </c>
      <c r="B17" s="763" t="s">
        <v>67</v>
      </c>
      <c r="C17" s="764">
        <f>Summary!J135</f>
        <v>10877300</v>
      </c>
      <c r="D17" s="764">
        <f>Summary!I135</f>
        <v>10836000</v>
      </c>
    </row>
    <row r="18" spans="1:4" ht="20.100000000000001" customHeight="1" x14ac:dyDescent="0.2">
      <c r="A18" s="762">
        <v>45</v>
      </c>
      <c r="B18" s="763" t="s">
        <v>68</v>
      </c>
      <c r="C18" s="764">
        <f>Summary!J136</f>
        <v>21743500</v>
      </c>
      <c r="D18" s="764">
        <f>Summary!I136</f>
        <v>21098900</v>
      </c>
    </row>
    <row r="19" spans="1:4" ht="20.100000000000001" customHeight="1" thickBot="1" x14ac:dyDescent="0.3">
      <c r="B19" s="765" t="s">
        <v>2940</v>
      </c>
      <c r="C19" s="766">
        <f>SUM(C5:C18)</f>
        <v>165370300</v>
      </c>
      <c r="D19" s="766">
        <f>SUM(D5:D18)</f>
        <v>181164739</v>
      </c>
    </row>
    <row r="20" spans="1:4" ht="15.75" thickTop="1" x14ac:dyDescent="0.2">
      <c r="C20" s="767"/>
      <c r="D20" s="767"/>
    </row>
    <row r="22" spans="1:4" x14ac:dyDescent="0.2">
      <c r="C22" s="768"/>
    </row>
  </sheetData>
  <printOptions horizontalCentered="1"/>
  <pageMargins left="0.5" right="0.5" top="0.36666666666666697" bottom="0.37777777777777799" header="0" footer="0"/>
  <pageSetup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1" sqref="B1"/>
    </sheetView>
  </sheetViews>
  <sheetFormatPr defaultRowHeight="15" x14ac:dyDescent="0.25"/>
  <cols>
    <col min="1" max="1" width="49.28515625" customWidth="1"/>
    <col min="2" max="5" width="10" customWidth="1"/>
  </cols>
  <sheetData>
    <row r="1" spans="1:5" ht="15.75" thickBot="1" x14ac:dyDescent="0.3">
      <c r="A1" s="769" t="s">
        <v>2941</v>
      </c>
      <c r="B1" s="769"/>
      <c r="C1" s="769"/>
      <c r="D1" s="769"/>
      <c r="E1" s="769"/>
    </row>
    <row r="2" spans="1:5" ht="34.5" thickBot="1" x14ac:dyDescent="0.3">
      <c r="A2" s="770" t="s">
        <v>2942</v>
      </c>
      <c r="B2" s="771" t="s">
        <v>2943</v>
      </c>
      <c r="C2" s="772" t="s">
        <v>2944</v>
      </c>
      <c r="D2" s="771" t="s">
        <v>2945</v>
      </c>
      <c r="E2" s="771" t="s">
        <v>2946</v>
      </c>
    </row>
    <row r="3" spans="1:5" ht="15.75" thickBot="1" x14ac:dyDescent="0.3">
      <c r="A3" s="773" t="s">
        <v>2947</v>
      </c>
      <c r="B3" s="773"/>
      <c r="C3" s="773"/>
      <c r="D3" s="773"/>
      <c r="E3" s="773"/>
    </row>
    <row r="4" spans="1:5" x14ac:dyDescent="0.25">
      <c r="A4" s="774" t="s">
        <v>2948</v>
      </c>
      <c r="B4" s="775">
        <f>(Summary!I26+Summary!I27+Summary!I28+Summary!I30+Summary!I31)/1000000</f>
        <v>37.180599999999998</v>
      </c>
      <c r="C4" s="775">
        <f>(Summary!J26+Summary!J27+Summary!J28+Summary!J30+Summary!J31)/1000000</f>
        <v>39.016100000000002</v>
      </c>
      <c r="D4" s="775">
        <f>(Summary!K26+Summary!K27+Summary!K28+Summary!K30+Summary!K31)/1000000</f>
        <v>39.776600000000002</v>
      </c>
      <c r="E4" s="775">
        <f>(Summary!L26+Summary!L27+Summary!L28+Summary!L30+Summary!L31)/1000000</f>
        <v>40.529699999999998</v>
      </c>
    </row>
    <row r="5" spans="1:5" x14ac:dyDescent="0.25">
      <c r="A5" s="774" t="s">
        <v>2949</v>
      </c>
      <c r="B5" s="775">
        <f>(Summary!I29+Summary!I32+Summary!I33+Summary!I34+Summary!I35+Summary!I36)/1000000</f>
        <v>8.5967000000000002</v>
      </c>
      <c r="C5" s="775">
        <f>(Summary!J29+Summary!J32+Summary!J33+Summary!J34+Summary!J35+Summary!J36)/1000000</f>
        <v>8.2517999999999994</v>
      </c>
      <c r="D5" s="775">
        <f>(Summary!K29+Summary!K32+Summary!K33+Summary!K34+Summary!K35+Summary!K36)/1000000</f>
        <v>8.2365999999999993</v>
      </c>
      <c r="E5" s="775">
        <f>(Summary!L29+Summary!L32+Summary!L33+Summary!L34+Summary!L35+Summary!L36)/1000000</f>
        <v>8.2367000000000008</v>
      </c>
    </row>
    <row r="6" spans="1:5" ht="15.75" thickBot="1" x14ac:dyDescent="0.3">
      <c r="A6" s="776" t="s">
        <v>2950</v>
      </c>
      <c r="B6" s="777">
        <f>(Summary!I6+Summary!I20)/1000000</f>
        <v>133.86553900000001</v>
      </c>
      <c r="C6" s="777">
        <f>(Summary!J6+Summary!J20)/1000000</f>
        <v>117.44240000000001</v>
      </c>
      <c r="D6" s="777">
        <f>(Summary!K6+Summary!K20)/1000000</f>
        <v>82.100499999999997</v>
      </c>
      <c r="E6" s="777">
        <f>(Summary!L6+Summary!L20)/1000000</f>
        <v>77.671300000000002</v>
      </c>
    </row>
    <row r="7" spans="1:5" ht="15.75" thickBot="1" x14ac:dyDescent="0.3">
      <c r="A7" s="778" t="s">
        <v>2951</v>
      </c>
      <c r="B7" s="779">
        <f>SUM(B4:B6)</f>
        <v>179.64283900000001</v>
      </c>
      <c r="C7" s="779">
        <f t="shared" ref="C7:E7" si="0">SUM(C4:C6)</f>
        <v>164.71030000000002</v>
      </c>
      <c r="D7" s="779">
        <f t="shared" si="0"/>
        <v>130.11369999999999</v>
      </c>
      <c r="E7" s="779">
        <f t="shared" si="0"/>
        <v>126.43770000000001</v>
      </c>
    </row>
    <row r="8" spans="1:5" ht="15.75" thickBot="1" x14ac:dyDescent="0.3">
      <c r="A8" s="780"/>
      <c r="B8" s="780"/>
      <c r="C8" s="780"/>
      <c r="D8" s="780"/>
      <c r="E8" s="780"/>
    </row>
    <row r="9" spans="1:5" ht="15.75" thickBot="1" x14ac:dyDescent="0.3">
      <c r="A9" s="773" t="s">
        <v>2952</v>
      </c>
      <c r="B9" s="773"/>
      <c r="C9" s="773"/>
      <c r="D9" s="773"/>
      <c r="E9" s="773"/>
    </row>
    <row r="10" spans="1:5" ht="15.75" thickBot="1" x14ac:dyDescent="0.3">
      <c r="A10" s="781" t="s">
        <v>2953</v>
      </c>
      <c r="B10" s="777">
        <f>Summary!I7/1000000</f>
        <v>121.70659999999999</v>
      </c>
      <c r="C10" s="777">
        <v>124.95140000000001</v>
      </c>
      <c r="D10" s="777">
        <v>125.23099999999999</v>
      </c>
      <c r="E10" s="777">
        <v>125.23099999999999</v>
      </c>
    </row>
    <row r="11" spans="1:5" hidden="1" x14ac:dyDescent="0.25">
      <c r="A11" s="782" t="s">
        <v>2954</v>
      </c>
      <c r="B11" s="783"/>
      <c r="C11" s="784"/>
      <c r="D11" s="784"/>
      <c r="E11" s="784"/>
    </row>
    <row r="12" spans="1:5" x14ac:dyDescent="0.25">
      <c r="A12" s="782" t="s">
        <v>2955</v>
      </c>
      <c r="B12" s="785"/>
      <c r="C12" s="775">
        <f>7866300/1000000</f>
        <v>7.8662999999999998</v>
      </c>
      <c r="D12" s="775">
        <f>5690800/1000000</f>
        <v>5.6908000000000003</v>
      </c>
      <c r="E12" s="775">
        <f>5891300/1000000</f>
        <v>5.8913000000000002</v>
      </c>
    </row>
    <row r="13" spans="1:5" ht="15.75" thickBot="1" x14ac:dyDescent="0.3">
      <c r="A13" s="786" t="s">
        <v>2956</v>
      </c>
      <c r="B13" s="787"/>
      <c r="C13" s="777">
        <f>(4893300+1321600)/1000000</f>
        <v>6.2149000000000001</v>
      </c>
      <c r="D13" s="777">
        <f>(4587300+336700)/1000000</f>
        <v>4.9240000000000004</v>
      </c>
      <c r="E13" s="777">
        <f>(4587300+97300)/1000000</f>
        <v>4.6845999999999997</v>
      </c>
    </row>
    <row r="14" spans="1:5" ht="15.75" thickBot="1" x14ac:dyDescent="0.3">
      <c r="A14" s="788" t="s">
        <v>2957</v>
      </c>
      <c r="B14" s="789"/>
      <c r="C14" s="790"/>
      <c r="D14" s="791"/>
      <c r="E14" s="791"/>
    </row>
    <row r="15" spans="1:5" ht="15.75" thickBot="1" x14ac:dyDescent="0.3">
      <c r="A15" s="792" t="s">
        <v>2958</v>
      </c>
      <c r="B15" s="793">
        <f>B10+B12-B13+B14</f>
        <v>121.70659999999999</v>
      </c>
      <c r="C15" s="793">
        <f t="shared" ref="C15:E15" si="1">C10+C12-C13+C14</f>
        <v>126.6028</v>
      </c>
      <c r="D15" s="793">
        <f t="shared" si="1"/>
        <v>125.99779999999998</v>
      </c>
      <c r="E15" s="793">
        <f t="shared" si="1"/>
        <v>126.43769999999999</v>
      </c>
    </row>
    <row r="16" spans="1:5" ht="23.25" thickBot="1" x14ac:dyDescent="0.3">
      <c r="A16" s="781" t="s">
        <v>2959</v>
      </c>
      <c r="B16" s="777">
        <v>43.42</v>
      </c>
      <c r="C16" s="777">
        <f>12147200/1000000</f>
        <v>12.1472</v>
      </c>
      <c r="D16" s="777">
        <v>0</v>
      </c>
      <c r="E16" s="777">
        <v>0</v>
      </c>
    </row>
    <row r="17" spans="1:5" x14ac:dyDescent="0.25">
      <c r="A17" s="782" t="s">
        <v>2960</v>
      </c>
      <c r="B17" s="794"/>
      <c r="C17" s="775">
        <f>36.8599-(12147200/1000000)+0.3932</f>
        <v>25.105900000000005</v>
      </c>
      <c r="D17" s="775">
        <v>4.1158999999999999</v>
      </c>
      <c r="E17" s="784"/>
    </row>
    <row r="18" spans="1:5" x14ac:dyDescent="0.25">
      <c r="A18" s="782" t="s">
        <v>2961</v>
      </c>
      <c r="B18" s="794"/>
      <c r="C18" s="775">
        <v>1.5143</v>
      </c>
      <c r="D18" s="784"/>
      <c r="E18" s="784"/>
    </row>
    <row r="19" spans="1:5" ht="15.75" thickBot="1" x14ac:dyDescent="0.3">
      <c r="A19" s="792" t="s">
        <v>2962</v>
      </c>
      <c r="B19" s="795">
        <f>B16+B17+B18</f>
        <v>43.42</v>
      </c>
      <c r="C19" s="795">
        <f t="shared" ref="C19:E19" si="2">C16+C17+C18</f>
        <v>38.767400000000002</v>
      </c>
      <c r="D19" s="795">
        <f t="shared" si="2"/>
        <v>4.1158999999999999</v>
      </c>
      <c r="E19" s="795">
        <f t="shared" si="2"/>
        <v>0</v>
      </c>
    </row>
    <row r="20" spans="1:5" ht="15.75" thickBot="1" x14ac:dyDescent="0.3">
      <c r="A20" s="778" t="s">
        <v>2963</v>
      </c>
      <c r="B20" s="796">
        <f>B15+B19</f>
        <v>165.1266</v>
      </c>
      <c r="C20" s="796">
        <f>C15+C19</f>
        <v>165.37020000000001</v>
      </c>
      <c r="D20" s="796">
        <f>D15+D19</f>
        <v>130.11369999999999</v>
      </c>
      <c r="E20" s="796">
        <f>E15+E19</f>
        <v>126.43769999999999</v>
      </c>
    </row>
    <row r="21" spans="1:5" ht="15.75" thickBot="1" x14ac:dyDescent="0.3">
      <c r="A21" s="778"/>
      <c r="B21" s="796"/>
      <c r="C21" s="796"/>
      <c r="D21" s="796"/>
      <c r="E21" s="796"/>
    </row>
    <row r="22" spans="1:5" ht="15.75" thickBot="1" x14ac:dyDescent="0.3">
      <c r="A22" s="778" t="s">
        <v>2964</v>
      </c>
      <c r="B22" s="797">
        <v>152.22369561059941</v>
      </c>
      <c r="C22" s="798">
        <v>157.30238391579391</v>
      </c>
      <c r="D22" s="798">
        <v>164.45847105575146</v>
      </c>
      <c r="E22" s="798">
        <v>172.24012580712227</v>
      </c>
    </row>
    <row r="23" spans="1:5" ht="15.75" thickBot="1" x14ac:dyDescent="0.3">
      <c r="A23" s="799"/>
      <c r="B23" s="799"/>
      <c r="C23" s="799"/>
      <c r="D23" s="799"/>
      <c r="E23" s="799"/>
    </row>
    <row r="24" spans="1:5" ht="15.75" thickBot="1" x14ac:dyDescent="0.3">
      <c r="A24" s="778" t="s">
        <v>2965</v>
      </c>
      <c r="B24" s="800"/>
      <c r="C24" s="801"/>
      <c r="D24" s="801"/>
      <c r="E24" s="801"/>
    </row>
    <row r="25" spans="1:5" x14ac:dyDescent="0.25">
      <c r="A25" s="781" t="s">
        <v>2966</v>
      </c>
      <c r="B25" s="802">
        <f>B7-B20</f>
        <v>14.516239000000013</v>
      </c>
      <c r="C25" s="802">
        <f>C7-C20</f>
        <v>-0.65989999999999327</v>
      </c>
      <c r="D25" s="802">
        <f>D7-D20</f>
        <v>0</v>
      </c>
      <c r="E25" s="802">
        <f>E7-E20</f>
        <v>0</v>
      </c>
    </row>
    <row r="26" spans="1:5" x14ac:dyDescent="0.25">
      <c r="A26" s="774" t="s">
        <v>2967</v>
      </c>
      <c r="B26" s="803">
        <f>B25/B22</f>
        <v>9.5361230994770577E-2</v>
      </c>
      <c r="C26" s="803">
        <f>C25/C22</f>
        <v>-4.1951048901664872E-3</v>
      </c>
      <c r="D26" s="803">
        <f>D25/D22</f>
        <v>0</v>
      </c>
      <c r="E26" s="803">
        <f>E25/E22</f>
        <v>0</v>
      </c>
    </row>
    <row r="27" spans="1:5" x14ac:dyDescent="0.25">
      <c r="A27" s="781" t="s">
        <v>2968</v>
      </c>
      <c r="B27" s="804">
        <f>'20'!G193/1000000</f>
        <v>0.13300000000000001</v>
      </c>
      <c r="C27" s="804">
        <f>'20'!H193/1000000</f>
        <v>0.24729999999999999</v>
      </c>
      <c r="D27" s="804">
        <f>'20'!I193/1000000</f>
        <v>0.24729999999999999</v>
      </c>
      <c r="E27" s="804">
        <f>'20'!J193/1000000</f>
        <v>0.24729999999999999</v>
      </c>
    </row>
    <row r="28" spans="1:5" x14ac:dyDescent="0.25">
      <c r="A28" s="774" t="s">
        <v>2969</v>
      </c>
      <c r="B28" s="803">
        <f>B27/(B4+B5)</f>
        <v>2.9053701288629958E-3</v>
      </c>
      <c r="C28" s="803">
        <f t="shared" ref="C28:E28" si="3">C27/(C4+C5)</f>
        <v>5.2318804093264143E-3</v>
      </c>
      <c r="D28" s="803">
        <f t="shared" si="3"/>
        <v>5.1506668999358515E-3</v>
      </c>
      <c r="E28" s="803">
        <f t="shared" si="3"/>
        <v>5.0711145378785393E-3</v>
      </c>
    </row>
    <row r="29" spans="1:5" x14ac:dyDescent="0.25">
      <c r="A29" s="781" t="s">
        <v>2970</v>
      </c>
      <c r="B29" s="802">
        <f>B25-B27</f>
        <v>14.383239000000014</v>
      </c>
      <c r="C29" s="802">
        <f t="shared" ref="C29:E29" si="4">C25-C27</f>
        <v>-0.90719999999999323</v>
      </c>
      <c r="D29" s="802">
        <f t="shared" si="4"/>
        <v>-0.24729999999999999</v>
      </c>
      <c r="E29" s="802">
        <f t="shared" si="4"/>
        <v>-0.24729999999999999</v>
      </c>
    </row>
    <row r="30" spans="1:5" ht="15.75" thickBot="1" x14ac:dyDescent="0.3">
      <c r="A30" s="776" t="s">
        <v>2971</v>
      </c>
      <c r="B30" s="805">
        <f>B29/B22</f>
        <v>9.4487516823882067E-2</v>
      </c>
      <c r="C30" s="805">
        <f t="shared" ref="C30:E30" si="5">C29/C22</f>
        <v>-5.767236181783676E-3</v>
      </c>
      <c r="D30" s="805">
        <f t="shared" si="5"/>
        <v>-1.5037230883422554E-3</v>
      </c>
      <c r="E30" s="805">
        <f t="shared" si="5"/>
        <v>-1.4357862248482749E-3</v>
      </c>
    </row>
    <row r="31" spans="1:5" ht="15.75" thickBot="1" x14ac:dyDescent="0.3">
      <c r="A31" s="776"/>
      <c r="B31" s="800"/>
      <c r="C31" s="801"/>
      <c r="D31" s="801"/>
      <c r="E31" s="801"/>
    </row>
    <row r="32" spans="1:5" ht="15.75" thickBot="1" x14ac:dyDescent="0.3">
      <c r="A32" s="778" t="s">
        <v>2972</v>
      </c>
      <c r="B32" s="800"/>
      <c r="C32" s="801"/>
      <c r="D32" s="801"/>
      <c r="E32" s="801"/>
    </row>
    <row r="33" spans="1:5" x14ac:dyDescent="0.25">
      <c r="A33" s="781" t="s">
        <v>2973</v>
      </c>
      <c r="B33" s="804">
        <f>12229148.59/1000000</f>
        <v>12.229148589999999</v>
      </c>
      <c r="C33" s="804">
        <f>B33-C25-(('20'!H191+'20'!H192)/1000000)</f>
        <v>12.062648589999993</v>
      </c>
      <c r="D33" s="804">
        <f>C33-D25-(('20'!I191+'20'!I192)/1000000)</f>
        <v>11.236248589999994</v>
      </c>
      <c r="E33" s="804">
        <f>D33-E25-(('20'!J191+'20'!J192)/1000000)</f>
        <v>10.409848589999994</v>
      </c>
    </row>
    <row r="34" spans="1:5" ht="15.75" thickBot="1" x14ac:dyDescent="0.3">
      <c r="A34" s="776" t="s">
        <v>2974</v>
      </c>
      <c r="B34" s="805">
        <f>B33/B22</f>
        <v>8.0336694894618477E-2</v>
      </c>
      <c r="C34" s="805">
        <f t="shared" ref="C34:E34" si="6">C33/C22</f>
        <v>7.6684461415774161E-2</v>
      </c>
      <c r="D34" s="805">
        <f t="shared" si="6"/>
        <v>6.8322711003380929E-2</v>
      </c>
      <c r="E34" s="805">
        <f t="shared" si="6"/>
        <v>6.0437999224740108E-2</v>
      </c>
    </row>
  </sheetData>
  <mergeCells count="5">
    <mergeCell ref="A1:E1"/>
    <mergeCell ref="A3:E3"/>
    <mergeCell ref="A8:E8"/>
    <mergeCell ref="A9:E9"/>
    <mergeCell ref="A23:E23"/>
  </mergeCells>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1"/>
  <sheetViews>
    <sheetView workbookViewId="0">
      <selection activeCell="B1" sqref="B1"/>
    </sheetView>
  </sheetViews>
  <sheetFormatPr defaultRowHeight="15" x14ac:dyDescent="0.25"/>
  <cols>
    <col min="1" max="2" width="4" bestFit="1" customWidth="1"/>
    <col min="3" max="3" width="32.28515625" bestFit="1" customWidth="1"/>
    <col min="4" max="4" width="12.5703125" style="807" bestFit="1" customWidth="1"/>
    <col min="5" max="5" width="6" style="807" bestFit="1" customWidth="1"/>
    <col min="6" max="6" width="12.5703125" style="831" bestFit="1" customWidth="1"/>
    <col min="7" max="7" width="6" style="831" bestFit="1" customWidth="1"/>
    <col min="8" max="8" width="12.5703125" bestFit="1" customWidth="1"/>
    <col min="9" max="9" width="6" bestFit="1" customWidth="1"/>
    <col min="10" max="10" width="12.5703125" bestFit="1" customWidth="1"/>
    <col min="11" max="11" width="6" bestFit="1" customWidth="1"/>
  </cols>
  <sheetData>
    <row r="1" spans="2:11" x14ac:dyDescent="0.25">
      <c r="C1" s="806" t="s">
        <v>2975</v>
      </c>
      <c r="D1" s="806"/>
      <c r="E1" s="806"/>
      <c r="F1" s="806"/>
      <c r="G1" s="806"/>
      <c r="H1" s="806"/>
      <c r="I1" s="806"/>
      <c r="J1" s="806"/>
      <c r="K1" s="806"/>
    </row>
    <row r="2" spans="2:11" x14ac:dyDescent="0.25">
      <c r="F2"/>
      <c r="G2"/>
    </row>
    <row r="3" spans="2:11" x14ac:dyDescent="0.25">
      <c r="F3"/>
      <c r="G3"/>
    </row>
    <row r="4" spans="2:11" ht="45" customHeight="1" x14ac:dyDescent="0.25">
      <c r="C4" s="808" t="s">
        <v>2976</v>
      </c>
      <c r="D4" s="809" t="str">
        <f>Summary!I349</f>
        <v>Revised Estimates                 2015-2016</v>
      </c>
      <c r="E4" s="809"/>
      <c r="F4" s="809" t="str">
        <f>Summary!J349</f>
        <v>Budget Estimates      2016-2017</v>
      </c>
      <c r="G4" s="809"/>
      <c r="H4" s="809" t="str">
        <f>Summary!K349</f>
        <v>Forward Estimates     2017-2018</v>
      </c>
      <c r="I4" s="809"/>
      <c r="J4" s="809" t="str">
        <f>Summary!L349</f>
        <v>Forward Estimates     2018-2019</v>
      </c>
      <c r="K4" s="809"/>
    </row>
    <row r="5" spans="2:11" x14ac:dyDescent="0.25">
      <c r="B5">
        <v>701</v>
      </c>
      <c r="C5" s="810" t="s">
        <v>2977</v>
      </c>
      <c r="D5" s="811">
        <f t="shared" ref="D5:D14" si="0">SUMIFS(D$40:D$96,$B$40:$B$96,$B5)</f>
        <v>37962700</v>
      </c>
      <c r="E5" s="812">
        <f t="shared" ref="E5:E15" si="1">D5/D$15</f>
        <v>0.30806753307879264</v>
      </c>
      <c r="F5" s="811">
        <f t="shared" ref="F5:F14" si="2">SUMIFS(F$40:F$96,$B$40:$B$96,$B5)</f>
        <v>37534500</v>
      </c>
      <c r="G5" s="812">
        <f t="shared" ref="G5:G15" si="3">F5/F$15</f>
        <v>0.2964744855564016</v>
      </c>
      <c r="H5" s="811">
        <f t="shared" ref="H5:H14" si="4">SUMIFS(H$40:H$96,$B$40:$B$96,$B5)</f>
        <v>37912200</v>
      </c>
      <c r="I5" s="812">
        <f t="shared" ref="I5:I15" si="5">H5/H$15</f>
        <v>0.30089572992544317</v>
      </c>
      <c r="J5" s="811">
        <f t="shared" ref="J5:J14" si="6">SUMIFS(J$40:J$96,$B$40:$B$96,$B5)</f>
        <v>37952300</v>
      </c>
      <c r="K5" s="813">
        <f t="shared" ref="K5:K15" si="7">J5/J$15</f>
        <v>0.30016601061234111</v>
      </c>
    </row>
    <row r="6" spans="2:11" x14ac:dyDescent="0.25">
      <c r="B6">
        <v>702</v>
      </c>
      <c r="C6" s="810" t="s">
        <v>2978</v>
      </c>
      <c r="D6" s="811">
        <f t="shared" si="0"/>
        <v>7905800</v>
      </c>
      <c r="E6" s="812">
        <f t="shared" si="1"/>
        <v>6.415561335243064E-2</v>
      </c>
      <c r="F6" s="811">
        <f t="shared" si="2"/>
        <v>8068700</v>
      </c>
      <c r="G6" s="812">
        <f t="shared" si="3"/>
        <v>6.3732397703684274E-2</v>
      </c>
      <c r="H6" s="811">
        <f t="shared" si="4"/>
        <v>8085700</v>
      </c>
      <c r="I6" s="812">
        <f t="shared" si="5"/>
        <v>6.4173342709158421E-2</v>
      </c>
      <c r="J6" s="811">
        <f t="shared" si="6"/>
        <v>8086200</v>
      </c>
      <c r="K6" s="813">
        <f t="shared" si="7"/>
        <v>6.3954026370299372E-2</v>
      </c>
    </row>
    <row r="7" spans="2:11" x14ac:dyDescent="0.25">
      <c r="B7">
        <v>703</v>
      </c>
      <c r="C7" s="810" t="s">
        <v>2979</v>
      </c>
      <c r="D7" s="811">
        <f t="shared" si="0"/>
        <v>8583600</v>
      </c>
      <c r="E7" s="812">
        <f t="shared" si="1"/>
        <v>6.9655964326434228E-2</v>
      </c>
      <c r="F7" s="811">
        <f t="shared" si="2"/>
        <v>9211700</v>
      </c>
      <c r="G7" s="812">
        <f t="shared" si="3"/>
        <v>7.2760634046008466E-2</v>
      </c>
      <c r="H7" s="811">
        <f t="shared" si="4"/>
        <v>9435300</v>
      </c>
      <c r="I7" s="812">
        <f t="shared" si="5"/>
        <v>7.4884640842935349E-2</v>
      </c>
      <c r="J7" s="811">
        <f t="shared" si="6"/>
        <v>9542200</v>
      </c>
      <c r="K7" s="813">
        <f t="shared" si="7"/>
        <v>7.5469579089148253E-2</v>
      </c>
    </row>
    <row r="8" spans="2:11" x14ac:dyDescent="0.25">
      <c r="B8">
        <v>704</v>
      </c>
      <c r="C8" s="810" t="s">
        <v>2980</v>
      </c>
      <c r="D8" s="811">
        <f t="shared" si="0"/>
        <v>35351300</v>
      </c>
      <c r="E8" s="812">
        <f t="shared" si="1"/>
        <v>0.28687600676791492</v>
      </c>
      <c r="F8" s="811">
        <f t="shared" si="2"/>
        <v>36888400</v>
      </c>
      <c r="G8" s="812">
        <f t="shared" si="3"/>
        <v>0.29137112291355327</v>
      </c>
      <c r="H8" s="811">
        <f t="shared" si="4"/>
        <v>37348300</v>
      </c>
      <c r="I8" s="812">
        <f t="shared" si="5"/>
        <v>0.29642025495683261</v>
      </c>
      <c r="J8" s="811">
        <f t="shared" si="6"/>
        <v>37541700</v>
      </c>
      <c r="K8" s="813">
        <f t="shared" si="7"/>
        <v>0.29691856147335804</v>
      </c>
    </row>
    <row r="9" spans="2:11" x14ac:dyDescent="0.25">
      <c r="B9">
        <v>705</v>
      </c>
      <c r="C9" s="810" t="s">
        <v>2981</v>
      </c>
      <c r="D9" s="811">
        <f t="shared" si="0"/>
        <v>869900</v>
      </c>
      <c r="E9" s="812">
        <f t="shared" si="1"/>
        <v>7.0592436003035011E-3</v>
      </c>
      <c r="F9" s="811">
        <f t="shared" si="2"/>
        <v>946300</v>
      </c>
      <c r="G9" s="812">
        <f t="shared" si="3"/>
        <v>7.4745582246206243E-3</v>
      </c>
      <c r="H9" s="811">
        <f t="shared" si="4"/>
        <v>983100</v>
      </c>
      <c r="I9" s="812">
        <f t="shared" si="5"/>
        <v>7.802517186808024E-3</v>
      </c>
      <c r="J9" s="811">
        <f t="shared" si="6"/>
        <v>952500</v>
      </c>
      <c r="K9" s="813">
        <f t="shared" si="7"/>
        <v>7.5333543713623392E-3</v>
      </c>
    </row>
    <row r="10" spans="2:11" x14ac:dyDescent="0.25">
      <c r="B10">
        <v>706</v>
      </c>
      <c r="C10" s="810" t="s">
        <v>2982</v>
      </c>
      <c r="D10" s="811">
        <f t="shared" si="0"/>
        <v>505300</v>
      </c>
      <c r="E10" s="812">
        <f t="shared" si="1"/>
        <v>4.1005124626202543E-3</v>
      </c>
      <c r="F10" s="811">
        <f t="shared" si="2"/>
        <v>566800</v>
      </c>
      <c r="G10" s="812">
        <f t="shared" si="3"/>
        <v>4.4769941897019657E-3</v>
      </c>
      <c r="H10" s="811">
        <f t="shared" si="4"/>
        <v>595600</v>
      </c>
      <c r="I10" s="812">
        <f t="shared" si="5"/>
        <v>4.72706666306872E-3</v>
      </c>
      <c r="J10" s="811">
        <f t="shared" si="6"/>
        <v>601000</v>
      </c>
      <c r="K10" s="813">
        <f t="shared" si="7"/>
        <v>4.7533291099094649E-3</v>
      </c>
    </row>
    <row r="11" spans="2:11" x14ac:dyDescent="0.25">
      <c r="B11">
        <v>707</v>
      </c>
      <c r="C11" s="810" t="s">
        <v>2983</v>
      </c>
      <c r="D11" s="811">
        <f t="shared" si="0"/>
        <v>15824100</v>
      </c>
      <c r="E11" s="812">
        <f t="shared" si="1"/>
        <v>0.12841266427814993</v>
      </c>
      <c r="F11" s="811">
        <f t="shared" si="2"/>
        <v>15487700</v>
      </c>
      <c r="G11" s="812">
        <f t="shared" si="3"/>
        <v>0.12233299737446565</v>
      </c>
      <c r="H11" s="811">
        <f t="shared" si="4"/>
        <v>13488900</v>
      </c>
      <c r="I11" s="812">
        <f t="shared" si="5"/>
        <v>0.10705663114752798</v>
      </c>
      <c r="J11" s="811">
        <f t="shared" si="6"/>
        <v>13431600</v>
      </c>
      <c r="K11" s="813">
        <f t="shared" si="7"/>
        <v>0.10623097383138098</v>
      </c>
    </row>
    <row r="12" spans="2:11" x14ac:dyDescent="0.25">
      <c r="B12">
        <v>708</v>
      </c>
      <c r="C12" s="810" t="s">
        <v>2984</v>
      </c>
      <c r="D12" s="811">
        <f t="shared" si="0"/>
        <v>2495000</v>
      </c>
      <c r="E12" s="812">
        <f t="shared" si="1"/>
        <v>2.0246939628413882E-2</v>
      </c>
      <c r="F12" s="811">
        <f t="shared" si="2"/>
        <v>2638700</v>
      </c>
      <c r="G12" s="812">
        <f t="shared" si="3"/>
        <v>2.0842351038049711E-2</v>
      </c>
      <c r="H12" s="811">
        <f t="shared" si="4"/>
        <v>2595200</v>
      </c>
      <c r="I12" s="812">
        <f t="shared" si="5"/>
        <v>2.0597185030214814E-2</v>
      </c>
      <c r="J12" s="811">
        <f t="shared" si="6"/>
        <v>2602800</v>
      </c>
      <c r="K12" s="813">
        <f t="shared" si="7"/>
        <v>2.0585632291634536E-2</v>
      </c>
    </row>
    <row r="13" spans="2:11" x14ac:dyDescent="0.25">
      <c r="B13">
        <v>709</v>
      </c>
      <c r="C13" s="810" t="s">
        <v>2985</v>
      </c>
      <c r="D13" s="811">
        <f t="shared" si="0"/>
        <v>8477300</v>
      </c>
      <c r="E13" s="812">
        <f t="shared" si="1"/>
        <v>6.8793339203187573E-2</v>
      </c>
      <c r="F13" s="811">
        <f t="shared" si="2"/>
        <v>9397400</v>
      </c>
      <c r="G13" s="812">
        <f t="shared" si="3"/>
        <v>7.4227426249656406E-2</v>
      </c>
      <c r="H13" s="811">
        <f t="shared" si="4"/>
        <v>9573400</v>
      </c>
      <c r="I13" s="812">
        <f t="shared" si="5"/>
        <v>7.5980691726363472E-2</v>
      </c>
      <c r="J13" s="811">
        <f t="shared" si="6"/>
        <v>9635900</v>
      </c>
      <c r="K13" s="813">
        <f t="shared" si="7"/>
        <v>7.6210655524420329E-2</v>
      </c>
    </row>
    <row r="14" spans="2:11" x14ac:dyDescent="0.25">
      <c r="B14">
        <v>710</v>
      </c>
      <c r="C14" s="810" t="s">
        <v>2986</v>
      </c>
      <c r="D14" s="811">
        <f t="shared" si="0"/>
        <v>5253500</v>
      </c>
      <c r="E14" s="812">
        <f t="shared" si="1"/>
        <v>4.2632183301752433E-2</v>
      </c>
      <c r="F14" s="811">
        <f t="shared" si="2"/>
        <v>5862600</v>
      </c>
      <c r="G14" s="812">
        <f t="shared" si="3"/>
        <v>4.6307032703858053E-2</v>
      </c>
      <c r="H14" s="811">
        <f t="shared" si="4"/>
        <v>5980100</v>
      </c>
      <c r="I14" s="812">
        <f t="shared" si="5"/>
        <v>4.7461939811647508E-2</v>
      </c>
      <c r="J14" s="811">
        <f t="shared" si="6"/>
        <v>6091500</v>
      </c>
      <c r="K14" s="813">
        <f t="shared" si="7"/>
        <v>4.8177877326145604E-2</v>
      </c>
    </row>
    <row r="15" spans="2:11" s="814" customFormat="1" x14ac:dyDescent="0.25">
      <c r="B15"/>
      <c r="C15" s="815" t="s">
        <v>2987</v>
      </c>
      <c r="D15" s="816">
        <f>SUM(D5:D14)</f>
        <v>123228500</v>
      </c>
      <c r="E15" s="817">
        <f t="shared" si="1"/>
        <v>1</v>
      </c>
      <c r="F15" s="816">
        <f>SUM(F5:F14)</f>
        <v>126602800</v>
      </c>
      <c r="G15" s="817">
        <f t="shared" si="3"/>
        <v>1</v>
      </c>
      <c r="H15" s="816">
        <f>SUM(H5:H14)</f>
        <v>125997800</v>
      </c>
      <c r="I15" s="817">
        <f t="shared" si="5"/>
        <v>1</v>
      </c>
      <c r="J15" s="816">
        <f>SUM(J5:J14)</f>
        <v>126437700</v>
      </c>
      <c r="K15" s="818">
        <f t="shared" si="7"/>
        <v>1</v>
      </c>
    </row>
    <row r="16" spans="2:11" s="814" customFormat="1" x14ac:dyDescent="0.25">
      <c r="B16"/>
      <c r="C16" s="819"/>
      <c r="D16" s="820"/>
      <c r="E16" s="821"/>
      <c r="F16" s="820"/>
      <c r="G16" s="821"/>
      <c r="H16" s="820"/>
      <c r="I16" s="821"/>
      <c r="J16" s="820"/>
      <c r="K16" s="821"/>
    </row>
    <row r="17" spans="2:11" s="814" customFormat="1" x14ac:dyDescent="0.25">
      <c r="B17"/>
      <c r="C17" s="819"/>
      <c r="D17" s="820"/>
      <c r="E17" s="821"/>
      <c r="F17" s="820"/>
      <c r="G17" s="821"/>
      <c r="H17" s="820"/>
      <c r="I17" s="821"/>
      <c r="J17" s="820"/>
      <c r="K17" s="821"/>
    </row>
    <row r="18" spans="2:11" s="814" customFormat="1" x14ac:dyDescent="0.25">
      <c r="B18"/>
      <c r="C18" s="806" t="s">
        <v>2988</v>
      </c>
      <c r="D18" s="806"/>
      <c r="E18" s="806"/>
      <c r="F18" s="806"/>
      <c r="G18" s="806"/>
      <c r="H18" s="806"/>
      <c r="I18" s="806"/>
      <c r="J18" s="806"/>
      <c r="K18" s="806"/>
    </row>
    <row r="19" spans="2:11" s="814" customFormat="1" x14ac:dyDescent="0.25">
      <c r="B19"/>
      <c r="C19" s="819"/>
      <c r="D19" s="820"/>
      <c r="E19" s="821"/>
      <c r="F19" s="820"/>
      <c r="G19" s="821"/>
      <c r="H19" s="820"/>
      <c r="I19" s="821"/>
      <c r="J19" s="820"/>
      <c r="K19" s="821"/>
    </row>
    <row r="20" spans="2:11" s="814" customFormat="1" ht="44.25" customHeight="1" x14ac:dyDescent="0.25">
      <c r="B20"/>
      <c r="C20" s="822" t="s">
        <v>2976</v>
      </c>
      <c r="D20" s="823" t="str">
        <f>D4</f>
        <v>Revised Estimates                 2015-2016</v>
      </c>
      <c r="E20" s="823"/>
      <c r="F20" s="823" t="str">
        <f>F4</f>
        <v>Budget Estimates      2016-2017</v>
      </c>
      <c r="G20" s="823"/>
      <c r="H20" s="823" t="str">
        <f>H4</f>
        <v>Forward Estimates     2017-2018</v>
      </c>
      <c r="I20" s="823"/>
      <c r="J20" s="823" t="str">
        <f>J4</f>
        <v>Forward Estimates     2018-2019</v>
      </c>
      <c r="K20" s="823"/>
    </row>
    <row r="21" spans="2:11" s="814" customFormat="1" x14ac:dyDescent="0.25">
      <c r="B21"/>
      <c r="C21" s="824" t="s">
        <v>3000</v>
      </c>
      <c r="D21" s="825">
        <v>44375600</v>
      </c>
      <c r="E21" s="826">
        <v>0.36010825417821363</v>
      </c>
      <c r="F21" s="825">
        <v>48008000</v>
      </c>
      <c r="G21" s="826">
        <v>0.37920172381653489</v>
      </c>
      <c r="H21" s="825">
        <v>49641700</v>
      </c>
      <c r="I21" s="826">
        <v>0.39398862519821776</v>
      </c>
      <c r="J21" s="825">
        <v>50231200</v>
      </c>
      <c r="K21" s="826">
        <v>0.39728024157351804</v>
      </c>
    </row>
    <row r="22" spans="2:11" s="814" customFormat="1" x14ac:dyDescent="0.25">
      <c r="B22"/>
      <c r="C22" s="827" t="s">
        <v>3001</v>
      </c>
      <c r="D22" s="828">
        <v>34503300</v>
      </c>
      <c r="E22" s="829">
        <v>0.27999448179601311</v>
      </c>
      <c r="F22" s="828">
        <v>35910600</v>
      </c>
      <c r="G22" s="829">
        <v>0.28364775502595518</v>
      </c>
      <c r="H22" s="828">
        <v>33546500</v>
      </c>
      <c r="I22" s="829">
        <v>0.26624671224418206</v>
      </c>
      <c r="J22" s="828">
        <v>33569900</v>
      </c>
      <c r="K22" s="829">
        <v>0.26550546237395967</v>
      </c>
    </row>
    <row r="23" spans="2:11" s="814" customFormat="1" x14ac:dyDescent="0.25">
      <c r="B23"/>
      <c r="C23" s="827" t="s">
        <v>3002</v>
      </c>
      <c r="D23" s="828">
        <v>0</v>
      </c>
      <c r="E23" s="829">
        <v>0</v>
      </c>
      <c r="F23" s="828">
        <v>0</v>
      </c>
      <c r="G23" s="829">
        <v>0</v>
      </c>
      <c r="H23" s="828">
        <v>0</v>
      </c>
      <c r="I23" s="829">
        <v>0</v>
      </c>
      <c r="J23" s="828">
        <v>0</v>
      </c>
      <c r="K23" s="829">
        <v>0</v>
      </c>
    </row>
    <row r="24" spans="2:11" s="814" customFormat="1" x14ac:dyDescent="0.25">
      <c r="B24"/>
      <c r="C24" s="827" t="s">
        <v>3003</v>
      </c>
      <c r="D24" s="828">
        <v>726700</v>
      </c>
      <c r="E24" s="829">
        <v>5.8971747607087649E-3</v>
      </c>
      <c r="F24" s="828">
        <v>1167700</v>
      </c>
      <c r="G24" s="829">
        <v>9.2233347129763322E-3</v>
      </c>
      <c r="H24" s="828">
        <v>1167700</v>
      </c>
      <c r="I24" s="829">
        <v>9.267622133084864E-3</v>
      </c>
      <c r="J24" s="828">
        <v>1167700</v>
      </c>
      <c r="K24" s="829">
        <v>9.2353783721152785E-3</v>
      </c>
    </row>
    <row r="25" spans="2:11" s="814" customFormat="1" x14ac:dyDescent="0.25">
      <c r="B25"/>
      <c r="C25" s="827" t="s">
        <v>3004</v>
      </c>
      <c r="D25" s="828">
        <v>17178100</v>
      </c>
      <c r="E25" s="829">
        <v>0.13940038221677614</v>
      </c>
      <c r="F25" s="828">
        <v>17364100</v>
      </c>
      <c r="G25" s="829">
        <v>0.13715415456846136</v>
      </c>
      <c r="H25" s="828">
        <v>17238100</v>
      </c>
      <c r="I25" s="829">
        <v>0.13681270625360126</v>
      </c>
      <c r="J25" s="828">
        <v>17238100</v>
      </c>
      <c r="K25" s="829">
        <v>0.13633670969971773</v>
      </c>
    </row>
    <row r="26" spans="2:11" s="814" customFormat="1" x14ac:dyDescent="0.25">
      <c r="B26"/>
      <c r="C26" s="827" t="s">
        <v>2950</v>
      </c>
      <c r="D26" s="828">
        <v>6948200</v>
      </c>
      <c r="E26" s="829">
        <v>5.6384683737934004E-2</v>
      </c>
      <c r="F26" s="828">
        <v>6318900</v>
      </c>
      <c r="G26" s="829">
        <v>4.991121839327408E-2</v>
      </c>
      <c r="H26" s="828">
        <v>6318900</v>
      </c>
      <c r="I26" s="829">
        <v>5.0150875650209766E-2</v>
      </c>
      <c r="J26" s="828">
        <v>6318900</v>
      </c>
      <c r="K26" s="829">
        <v>4.9976391535119666E-2</v>
      </c>
    </row>
    <row r="27" spans="2:11" s="814" customFormat="1" x14ac:dyDescent="0.25">
      <c r="B27"/>
      <c r="C27" s="827" t="s">
        <v>3005</v>
      </c>
      <c r="D27" s="828">
        <v>17163600</v>
      </c>
      <c r="E27" s="829">
        <v>0.13928271463176131</v>
      </c>
      <c r="F27" s="828">
        <v>15337000</v>
      </c>
      <c r="G27" s="829">
        <v>0.12114266035190376</v>
      </c>
      <c r="H27" s="828">
        <v>15513400</v>
      </c>
      <c r="I27" s="829">
        <v>0.12312437201284467</v>
      </c>
      <c r="J27" s="828">
        <v>15340400</v>
      </c>
      <c r="K27" s="829">
        <v>0.12132773690125651</v>
      </c>
    </row>
    <row r="28" spans="2:11" s="814" customFormat="1" x14ac:dyDescent="0.25">
      <c r="B28"/>
      <c r="C28" s="827" t="s">
        <v>3006</v>
      </c>
      <c r="D28" s="828">
        <v>2333000</v>
      </c>
      <c r="E28" s="829">
        <v>1.893230867859302E-2</v>
      </c>
      <c r="F28" s="828">
        <v>2496500</v>
      </c>
      <c r="G28" s="829">
        <v>1.971915313089442E-2</v>
      </c>
      <c r="H28" s="828">
        <v>2571500</v>
      </c>
      <c r="I28" s="829">
        <v>2.040908650785966E-2</v>
      </c>
      <c r="J28" s="828">
        <v>2571500</v>
      </c>
      <c r="K28" s="829">
        <v>2.0338079544313128E-2</v>
      </c>
    </row>
    <row r="29" spans="2:11" s="814" customFormat="1" x14ac:dyDescent="0.25">
      <c r="B29"/>
      <c r="C29" s="815" t="s">
        <v>3007</v>
      </c>
      <c r="D29" s="816">
        <v>123228500</v>
      </c>
      <c r="E29" s="830">
        <v>1</v>
      </c>
      <c r="F29" s="816">
        <v>126602800</v>
      </c>
      <c r="G29" s="830">
        <v>1</v>
      </c>
      <c r="H29" s="816">
        <v>125997800</v>
      </c>
      <c r="I29" s="830">
        <v>1</v>
      </c>
      <c r="J29" s="816">
        <v>126437700</v>
      </c>
      <c r="K29" s="830">
        <v>1</v>
      </c>
    </row>
    <row r="30" spans="2:11" s="814" customFormat="1" x14ac:dyDescent="0.25">
      <c r="B30"/>
      <c r="C30" s="819"/>
      <c r="D30" s="820"/>
      <c r="E30" s="821"/>
      <c r="F30" s="820"/>
      <c r="G30" s="821"/>
      <c r="H30" s="820"/>
      <c r="I30" s="821"/>
      <c r="J30" s="820"/>
      <c r="K30" s="821"/>
    </row>
    <row r="31" spans="2:11" s="814" customFormat="1" hidden="1" x14ac:dyDescent="0.25">
      <c r="B31"/>
      <c r="C31" s="819"/>
      <c r="D31" s="820"/>
      <c r="E31" s="821"/>
      <c r="F31" s="820"/>
      <c r="G31" s="821"/>
      <c r="H31" s="820"/>
      <c r="I31" s="821"/>
      <c r="J31" s="820"/>
      <c r="K31" s="821"/>
    </row>
    <row r="32" spans="2:11" s="814" customFormat="1" hidden="1" x14ac:dyDescent="0.25">
      <c r="B32"/>
      <c r="C32" s="819"/>
      <c r="D32" s="820"/>
      <c r="E32" s="821"/>
      <c r="F32" s="820"/>
      <c r="G32" s="821"/>
      <c r="H32" s="820"/>
      <c r="I32" s="821"/>
      <c r="J32" s="820"/>
      <c r="K32" s="821"/>
    </row>
    <row r="33" spans="1:11" s="814" customFormat="1" hidden="1" x14ac:dyDescent="0.25">
      <c r="B33"/>
      <c r="C33" s="819"/>
      <c r="D33" s="820"/>
      <c r="E33" s="821"/>
      <c r="F33" s="820"/>
      <c r="G33" s="821"/>
      <c r="H33" s="820"/>
      <c r="I33" s="821"/>
      <c r="J33" s="820"/>
      <c r="K33" s="821"/>
    </row>
    <row r="34" spans="1:11" s="814" customFormat="1" hidden="1" x14ac:dyDescent="0.25">
      <c r="B34"/>
      <c r="C34" s="819"/>
      <c r="D34" s="820"/>
      <c r="E34" s="821"/>
      <c r="F34" s="820"/>
      <c r="G34" s="821"/>
      <c r="H34" s="820"/>
      <c r="I34" s="821"/>
      <c r="J34" s="820"/>
      <c r="K34" s="821"/>
    </row>
    <row r="35" spans="1:11" s="814" customFormat="1" hidden="1" x14ac:dyDescent="0.25">
      <c r="B35"/>
      <c r="C35" s="819"/>
      <c r="D35" s="820"/>
      <c r="E35" s="821"/>
      <c r="F35" s="820"/>
      <c r="G35" s="821"/>
      <c r="H35" s="820"/>
      <c r="I35" s="821"/>
      <c r="J35" s="820"/>
      <c r="K35" s="821"/>
    </row>
    <row r="36" spans="1:11" s="814" customFormat="1" hidden="1" x14ac:dyDescent="0.25">
      <c r="B36"/>
      <c r="C36" s="819"/>
      <c r="D36" s="820"/>
      <c r="E36" s="821"/>
      <c r="F36" s="820"/>
      <c r="G36" s="821"/>
      <c r="H36" s="820"/>
      <c r="I36" s="821"/>
      <c r="J36" s="820"/>
      <c r="K36" s="821"/>
    </row>
    <row r="37" spans="1:11" hidden="1" x14ac:dyDescent="0.25">
      <c r="C37" s="819"/>
      <c r="D37" s="820"/>
      <c r="E37" s="821"/>
      <c r="F37" s="820"/>
      <c r="G37" s="821"/>
      <c r="H37" s="820"/>
      <c r="I37" s="821"/>
      <c r="J37" s="820"/>
      <c r="K37" s="821"/>
    </row>
    <row r="38" spans="1:11" hidden="1" x14ac:dyDescent="0.25"/>
    <row r="39" spans="1:11" hidden="1" x14ac:dyDescent="0.25">
      <c r="A39" s="832"/>
      <c r="B39" s="832"/>
      <c r="C39" s="832"/>
    </row>
    <row r="40" spans="1:11" hidden="1" x14ac:dyDescent="0.25">
      <c r="A40" s="833" t="s">
        <v>85</v>
      </c>
      <c r="B40" s="832">
        <v>703</v>
      </c>
      <c r="C40" s="832"/>
      <c r="D40" s="807">
        <f>SUMIFS(Summary!I$350:I$407,Summary!$B$350:$B$407,COFOG!$A40)</f>
        <v>1326800</v>
      </c>
      <c r="F40" s="831">
        <f>SUMIFS(Summary!J$350:J$407,Summary!$B$350:$B$407,COFOG!$A40)</f>
        <v>1372800</v>
      </c>
      <c r="H40" s="807">
        <f>SUMIFS(Summary!K$350:K$407,Summary!$B$350:$B$407,COFOG!$A40)</f>
        <v>1400600</v>
      </c>
      <c r="I40" s="807"/>
      <c r="J40" s="807">
        <f>SUMIFS(Summary!L$350:L$407,Summary!$B$350:$B$407,COFOG!$A40)</f>
        <v>1427000</v>
      </c>
    </row>
    <row r="41" spans="1:11" hidden="1" x14ac:dyDescent="0.25">
      <c r="A41" s="833" t="s">
        <v>87</v>
      </c>
      <c r="B41" s="832">
        <v>703</v>
      </c>
      <c r="C41" s="832"/>
      <c r="D41" s="807">
        <f>SUMIFS(Summary!I$350:I$407,Summary!$B$350:$B$407,COFOG!$A41)</f>
        <v>4482200</v>
      </c>
      <c r="F41" s="831">
        <f>SUMIFS(Summary!J$350:J$407,Summary!$B$350:$B$407,COFOG!$A41)</f>
        <v>4715200</v>
      </c>
      <c r="H41" s="807">
        <f>SUMIFS(Summary!K$350:K$407,Summary!$B$350:$B$407,COFOG!$A41)</f>
        <v>4761300</v>
      </c>
      <c r="I41" s="807"/>
      <c r="J41" s="807">
        <f>SUMIFS(Summary!L$350:L$407,Summary!$B$350:$B$407,COFOG!$A41)</f>
        <v>4842400</v>
      </c>
    </row>
    <row r="42" spans="1:11" hidden="1" x14ac:dyDescent="0.25">
      <c r="A42" s="833" t="s">
        <v>89</v>
      </c>
      <c r="B42" s="832">
        <v>703</v>
      </c>
      <c r="C42" s="832"/>
      <c r="D42" s="807">
        <f>SUMIFS(Summary!I$350:I$407,Summary!$B$350:$B$407,COFOG!$A42)</f>
        <v>135100</v>
      </c>
      <c r="F42" s="831">
        <f>SUMIFS(Summary!J$350:J$407,Summary!$B$350:$B$407,COFOG!$A42)</f>
        <v>178700</v>
      </c>
      <c r="H42" s="807">
        <f>SUMIFS(Summary!K$350:K$407,Summary!$B$350:$B$407,COFOG!$A42)</f>
        <v>178700</v>
      </c>
      <c r="I42" s="807"/>
      <c r="J42" s="807">
        <f>SUMIFS(Summary!L$350:L$407,Summary!$B$350:$B$407,COFOG!$A42)</f>
        <v>178700</v>
      </c>
    </row>
    <row r="43" spans="1:11" hidden="1" x14ac:dyDescent="0.25">
      <c r="A43" s="833" t="s">
        <v>91</v>
      </c>
      <c r="B43" s="832">
        <v>701</v>
      </c>
      <c r="C43" s="832"/>
      <c r="D43" s="807">
        <f>SUMIFS(Summary!I$350:I$407,Summary!$B$350:$B$407,COFOG!$A43)</f>
        <v>1551800</v>
      </c>
      <c r="F43" s="831">
        <f>SUMIFS(Summary!J$350:J$407,Summary!$B$350:$B$407,COFOG!$A43)</f>
        <v>1739100</v>
      </c>
      <c r="H43" s="807">
        <f>SUMIFS(Summary!K$350:K$407,Summary!$B$350:$B$407,COFOG!$A43)</f>
        <v>1768300</v>
      </c>
      <c r="I43" s="807"/>
      <c r="J43" s="807">
        <f>SUMIFS(Summary!L$350:L$407,Summary!$B$350:$B$407,COFOG!$A43)</f>
        <v>1757000</v>
      </c>
    </row>
    <row r="44" spans="1:11" hidden="1" x14ac:dyDescent="0.25">
      <c r="A44" s="833" t="s">
        <v>93</v>
      </c>
      <c r="B44" s="832">
        <v>703</v>
      </c>
      <c r="C44" s="832"/>
      <c r="D44" s="807">
        <f>SUMIFS(Summary!I$350:I$407,Summary!$B$350:$B$407,COFOG!$A44)</f>
        <v>309200</v>
      </c>
      <c r="F44" s="831">
        <f>SUMIFS(Summary!J$350:J$407,Summary!$B$350:$B$407,COFOG!$A44)</f>
        <v>339200</v>
      </c>
      <c r="H44" s="807">
        <f>SUMIFS(Summary!K$350:K$407,Summary!$B$350:$B$407,COFOG!$A44)</f>
        <v>359200</v>
      </c>
      <c r="I44" s="807"/>
      <c r="J44" s="807">
        <f>SUMIFS(Summary!L$350:L$407,Summary!$B$350:$B$407,COFOG!$A44)</f>
        <v>341600</v>
      </c>
    </row>
    <row r="45" spans="1:11" hidden="1" x14ac:dyDescent="0.25">
      <c r="A45" s="833" t="s">
        <v>95</v>
      </c>
      <c r="B45" s="832">
        <v>703</v>
      </c>
      <c r="C45" s="832"/>
      <c r="D45" s="807">
        <f>SUMIFS(Summary!I$350:I$407,Summary!$B$350:$B$407,COFOG!$A45)</f>
        <v>626500</v>
      </c>
      <c r="F45" s="831">
        <f>SUMIFS(Summary!J$350:J$407,Summary!$B$350:$B$407,COFOG!$A45)</f>
        <v>712900</v>
      </c>
      <c r="H45" s="807">
        <f>SUMIFS(Summary!K$350:K$407,Summary!$B$350:$B$407,COFOG!$A45)</f>
        <v>795400</v>
      </c>
      <c r="I45" s="807"/>
      <c r="J45" s="807">
        <f>SUMIFS(Summary!L$350:L$407,Summary!$B$350:$B$407,COFOG!$A45)</f>
        <v>781900</v>
      </c>
    </row>
    <row r="46" spans="1:11" hidden="1" x14ac:dyDescent="0.25">
      <c r="A46" s="834">
        <v>100</v>
      </c>
      <c r="B46" s="832">
        <v>701</v>
      </c>
      <c r="C46" s="832"/>
      <c r="D46" s="807">
        <f>SUMIFS(Summary!I$350:I$407,Summary!$B$350:$B$407,COFOG!$A46)</f>
        <v>1006200</v>
      </c>
      <c r="F46" s="831">
        <f>SUMIFS(Summary!J$350:J$407,Summary!$B$350:$B$407,COFOG!$A46)</f>
        <v>1022600</v>
      </c>
      <c r="H46" s="807">
        <f>SUMIFS(Summary!K$350:K$407,Summary!$B$350:$B$407,COFOG!$A46)</f>
        <v>1026700</v>
      </c>
      <c r="I46" s="807"/>
      <c r="J46" s="807">
        <f>SUMIFS(Summary!L$350:L$407,Summary!$B$350:$B$407,COFOG!$A46)</f>
        <v>1029200</v>
      </c>
    </row>
    <row r="47" spans="1:11" hidden="1" x14ac:dyDescent="0.25">
      <c r="A47" s="834">
        <v>101</v>
      </c>
      <c r="B47" s="832">
        <v>701</v>
      </c>
      <c r="C47" s="832"/>
      <c r="D47" s="807">
        <f>SUMIFS(Summary!I$350:I$407,Summary!$B$350:$B$407,COFOG!$A47)</f>
        <v>319700</v>
      </c>
      <c r="F47" s="831">
        <f>SUMIFS(Summary!J$350:J$407,Summary!$B$350:$B$407,COFOG!$A47)</f>
        <v>282800</v>
      </c>
      <c r="H47" s="807">
        <f>SUMIFS(Summary!K$350:K$407,Summary!$B$350:$B$407,COFOG!$A47)</f>
        <v>291600</v>
      </c>
      <c r="I47" s="807"/>
      <c r="J47" s="807">
        <f>SUMIFS(Summary!L$350:L$407,Summary!$B$350:$B$407,COFOG!$A47)</f>
        <v>286000</v>
      </c>
    </row>
    <row r="48" spans="1:11" hidden="1" x14ac:dyDescent="0.25">
      <c r="A48" s="834">
        <v>102</v>
      </c>
      <c r="B48" s="832">
        <v>701</v>
      </c>
      <c r="C48" s="832"/>
      <c r="D48" s="807">
        <f>SUMIFS(Summary!I$350:I$407,Summary!$B$350:$B$407,COFOG!$A48)</f>
        <v>1277300</v>
      </c>
      <c r="F48" s="831">
        <f>SUMIFS(Summary!J$350:J$407,Summary!$B$350:$B$407,COFOG!$A48)</f>
        <v>0</v>
      </c>
      <c r="H48" s="807">
        <f>SUMIFS(Summary!K$350:K$407,Summary!$B$350:$B$407,COFOG!$A48)</f>
        <v>0</v>
      </c>
      <c r="I48" s="807"/>
      <c r="J48" s="807">
        <f>SUMIFS(Summary!L$350:L$407,Summary!$B$350:$B$407,COFOG!$A48)</f>
        <v>0</v>
      </c>
    </row>
    <row r="49" spans="1:10" hidden="1" x14ac:dyDescent="0.25">
      <c r="A49" s="834">
        <v>103</v>
      </c>
      <c r="B49" s="832">
        <v>701</v>
      </c>
      <c r="C49" s="832"/>
      <c r="D49" s="807">
        <f>SUMIFS(Summary!I$350:I$407,Summary!$B$350:$B$407,COFOG!$A49)</f>
        <v>170000</v>
      </c>
      <c r="F49" s="831">
        <f>SUMIFS(Summary!J$350:J$407,Summary!$B$350:$B$407,COFOG!$A49)</f>
        <v>168000</v>
      </c>
      <c r="H49" s="807">
        <f>SUMIFS(Summary!K$350:K$407,Summary!$B$350:$B$407,COFOG!$A49)</f>
        <v>168000</v>
      </c>
      <c r="I49" s="807"/>
      <c r="J49" s="807">
        <f>SUMIFS(Summary!L$350:L$407,Summary!$B$350:$B$407,COFOG!$A49)</f>
        <v>168000</v>
      </c>
    </row>
    <row r="50" spans="1:10" hidden="1" x14ac:dyDescent="0.25">
      <c r="A50" s="834">
        <v>110</v>
      </c>
      <c r="B50" s="832">
        <v>701</v>
      </c>
      <c r="C50" s="832"/>
      <c r="D50" s="807">
        <f>SUMIFS(Summary!I$350:I$407,Summary!$B$350:$B$407,COFOG!$A50)</f>
        <v>0</v>
      </c>
      <c r="F50" s="831">
        <f>SUMIFS(Summary!J$350:J$407,Summary!$B$350:$B$407,COFOG!$A50)</f>
        <v>1258000</v>
      </c>
      <c r="H50" s="807">
        <f>SUMIFS(Summary!K$350:K$407,Summary!$B$350:$B$407,COFOG!$A50)</f>
        <v>1305900</v>
      </c>
      <c r="I50" s="807"/>
      <c r="J50" s="807">
        <f>SUMIFS(Summary!L$350:L$407,Summary!$B$350:$B$407,COFOG!$A50)</f>
        <v>1316700</v>
      </c>
    </row>
    <row r="51" spans="1:10" hidden="1" x14ac:dyDescent="0.25">
      <c r="A51" s="834">
        <v>120</v>
      </c>
      <c r="B51" s="832">
        <v>701</v>
      </c>
      <c r="C51" s="832"/>
      <c r="D51" s="807">
        <f>SUMIFS(Summary!I$350:I$407,Summary!$B$350:$B$407,COFOG!$A51)</f>
        <v>14999700</v>
      </c>
      <c r="F51" s="831">
        <f>SUMIFS(Summary!J$350:J$407,Summary!$B$350:$B$407,COFOG!$A51)</f>
        <v>14131700</v>
      </c>
      <c r="H51" s="807">
        <f>SUMIFS(Summary!K$350:K$407,Summary!$B$350:$B$407,COFOG!$A51)</f>
        <v>14105700</v>
      </c>
      <c r="I51" s="807"/>
      <c r="J51" s="807">
        <f>SUMIFS(Summary!L$350:L$407,Summary!$B$350:$B$407,COFOG!$A51)</f>
        <v>14111700</v>
      </c>
    </row>
    <row r="52" spans="1:10" hidden="1" x14ac:dyDescent="0.25">
      <c r="A52" s="834">
        <v>121</v>
      </c>
      <c r="B52" s="832">
        <v>701</v>
      </c>
      <c r="C52" s="832"/>
      <c r="D52" s="807">
        <f>SUMIFS(Summary!I$350:I$407,Summary!$B$350:$B$407,COFOG!$A52)</f>
        <v>6562200</v>
      </c>
      <c r="F52" s="831">
        <f>SUMIFS(Summary!J$350:J$407,Summary!$B$350:$B$407,COFOG!$A52)</f>
        <v>7943800</v>
      </c>
      <c r="H52" s="807">
        <f>SUMIFS(Summary!K$350:K$407,Summary!$B$350:$B$407,COFOG!$A52)</f>
        <v>8119300</v>
      </c>
      <c r="I52" s="807"/>
      <c r="J52" s="807">
        <f>SUMIFS(Summary!L$350:L$407,Summary!$B$350:$B$407,COFOG!$A52)</f>
        <v>8134600</v>
      </c>
    </row>
    <row r="53" spans="1:10" hidden="1" x14ac:dyDescent="0.25">
      <c r="A53" s="833">
        <v>122</v>
      </c>
      <c r="B53" s="832">
        <v>703</v>
      </c>
      <c r="C53" s="832"/>
      <c r="D53" s="807">
        <f>SUMIFS(Summary!I$350:I$407,Summary!$B$350:$B$407,COFOG!$A53)</f>
        <v>1179500</v>
      </c>
      <c r="F53" s="831">
        <f>SUMIFS(Summary!J$350:J$407,Summary!$B$350:$B$407,COFOG!$A53)</f>
        <v>1243700</v>
      </c>
      <c r="H53" s="807">
        <f>SUMIFS(Summary!K$350:K$407,Summary!$B$350:$B$407,COFOG!$A53)</f>
        <v>1263000</v>
      </c>
      <c r="I53" s="807"/>
      <c r="J53" s="807">
        <f>SUMIFS(Summary!L$350:L$407,Summary!$B$350:$B$407,COFOG!$A53)</f>
        <v>1289400</v>
      </c>
    </row>
    <row r="54" spans="1:10" hidden="1" x14ac:dyDescent="0.25">
      <c r="A54" s="834">
        <v>123</v>
      </c>
      <c r="B54" s="832">
        <v>702</v>
      </c>
      <c r="C54" s="832"/>
      <c r="D54" s="807">
        <f>SUMIFS(Summary!I$350:I$407,Summary!$B$350:$B$407,COFOG!$A54)</f>
        <v>91900</v>
      </c>
      <c r="F54" s="831">
        <f>SUMIFS(Summary!J$350:J$407,Summary!$B$350:$B$407,COFOG!$A54)</f>
        <v>96200</v>
      </c>
      <c r="H54" s="807">
        <f>SUMIFS(Summary!K$350:K$407,Summary!$B$350:$B$407,COFOG!$A54)</f>
        <v>98500</v>
      </c>
      <c r="I54" s="807"/>
      <c r="J54" s="807">
        <f>SUMIFS(Summary!L$350:L$407,Summary!$B$350:$B$407,COFOG!$A54)</f>
        <v>101500</v>
      </c>
    </row>
    <row r="55" spans="1:10" hidden="1" x14ac:dyDescent="0.25">
      <c r="A55" s="834">
        <v>124</v>
      </c>
      <c r="B55" s="832">
        <v>702</v>
      </c>
      <c r="C55" s="832"/>
      <c r="D55" s="807">
        <f>SUMIFS(Summary!I$350:I$407,Summary!$B$350:$B$407,COFOG!$A55)</f>
        <v>7506000</v>
      </c>
      <c r="F55" s="831">
        <f>SUMIFS(Summary!J$350:J$407,Summary!$B$350:$B$407,COFOG!$A55)</f>
        <v>7644800</v>
      </c>
      <c r="H55" s="807">
        <f>SUMIFS(Summary!K$350:K$407,Summary!$B$350:$B$407,COFOG!$A55)</f>
        <v>7648600</v>
      </c>
      <c r="I55" s="807"/>
      <c r="J55" s="807">
        <f>SUMIFS(Summary!L$350:L$407,Summary!$B$350:$B$407,COFOG!$A55)</f>
        <v>7653900</v>
      </c>
    </row>
    <row r="56" spans="1:10" hidden="1" x14ac:dyDescent="0.25">
      <c r="A56" s="834">
        <v>125</v>
      </c>
      <c r="B56" s="832">
        <v>702</v>
      </c>
      <c r="C56" s="832"/>
      <c r="D56" s="807">
        <f>SUMIFS(Summary!I$350:I$407,Summary!$B$350:$B$407,COFOG!$A56)</f>
        <v>307900</v>
      </c>
      <c r="F56" s="831">
        <f>SUMIFS(Summary!J$350:J$407,Summary!$B$350:$B$407,COFOG!$A56)</f>
        <v>327700</v>
      </c>
      <c r="H56" s="807">
        <f>SUMIFS(Summary!K$350:K$407,Summary!$B$350:$B$407,COFOG!$A56)</f>
        <v>338600</v>
      </c>
      <c r="I56" s="807"/>
      <c r="J56" s="807">
        <f>SUMIFS(Summary!L$350:L$407,Summary!$B$350:$B$407,COFOG!$A56)</f>
        <v>330800</v>
      </c>
    </row>
    <row r="57" spans="1:10" hidden="1" x14ac:dyDescent="0.25">
      <c r="A57" s="834">
        <v>130</v>
      </c>
      <c r="B57" s="832">
        <v>703</v>
      </c>
      <c r="C57" s="832"/>
      <c r="D57" s="807">
        <f>SUMIFS(Summary!I$350:I$407,Summary!$B$350:$B$407,COFOG!$A57)</f>
        <v>524300</v>
      </c>
      <c r="F57" s="831">
        <f>SUMIFS(Summary!J$350:J$407,Summary!$B$350:$B$407,COFOG!$A57)</f>
        <v>649200</v>
      </c>
      <c r="H57" s="807">
        <f>SUMIFS(Summary!K$350:K$407,Summary!$B$350:$B$407,COFOG!$A57)</f>
        <v>677100</v>
      </c>
      <c r="I57" s="807"/>
      <c r="J57" s="807">
        <f>SUMIFS(Summary!L$350:L$407,Summary!$B$350:$B$407,COFOG!$A57)</f>
        <v>681200</v>
      </c>
    </row>
    <row r="58" spans="1:10" hidden="1" x14ac:dyDescent="0.25">
      <c r="A58" s="834">
        <v>150</v>
      </c>
      <c r="B58" s="832">
        <v>701</v>
      </c>
      <c r="C58" s="832"/>
      <c r="D58" s="807">
        <f>SUMIFS(Summary!I$350:I$407,Summary!$B$350:$B$407,COFOG!$A58)</f>
        <v>4107300</v>
      </c>
      <c r="F58" s="831">
        <f>SUMIFS(Summary!J$350:J$407,Summary!$B$350:$B$407,COFOG!$A58)</f>
        <v>4201400</v>
      </c>
      <c r="H58" s="807">
        <f>SUMIFS(Summary!K$350:K$407,Summary!$B$350:$B$407,COFOG!$A58)</f>
        <v>4205800</v>
      </c>
      <c r="I58" s="807"/>
      <c r="J58" s="807">
        <f>SUMIFS(Summary!L$350:L$407,Summary!$B$350:$B$407,COFOG!$A58)</f>
        <v>4210200</v>
      </c>
    </row>
    <row r="59" spans="1:10" hidden="1" x14ac:dyDescent="0.25">
      <c r="A59" s="834">
        <v>152</v>
      </c>
      <c r="B59" s="832">
        <v>708</v>
      </c>
      <c r="C59" s="832"/>
      <c r="D59" s="807">
        <f>SUMIFS(Summary!I$350:I$407,Summary!$B$350:$B$407,COFOG!$A59)</f>
        <v>1038000</v>
      </c>
      <c r="F59" s="831">
        <f>SUMIFS(Summary!J$350:J$407,Summary!$B$350:$B$407,COFOG!$A59)</f>
        <v>1158800</v>
      </c>
      <c r="H59" s="807">
        <f>SUMIFS(Summary!K$350:K$407,Summary!$B$350:$B$407,COFOG!$A59)</f>
        <v>1113300</v>
      </c>
      <c r="I59" s="807"/>
      <c r="J59" s="807">
        <f>SUMIFS(Summary!L$350:L$407,Summary!$B$350:$B$407,COFOG!$A59)</f>
        <v>1118700</v>
      </c>
    </row>
    <row r="60" spans="1:10" hidden="1" x14ac:dyDescent="0.25">
      <c r="A60" s="834">
        <v>153</v>
      </c>
      <c r="B60" s="832">
        <v>701</v>
      </c>
      <c r="C60" s="832"/>
      <c r="D60" s="807">
        <f>SUMIFS(Summary!I$350:I$407,Summary!$B$350:$B$407,COFOG!$A60)</f>
        <v>5520400</v>
      </c>
      <c r="F60" s="831">
        <f>SUMIFS(Summary!J$350:J$407,Summary!$B$350:$B$407,COFOG!$A60)</f>
        <v>4295400</v>
      </c>
      <c r="H60" s="807">
        <f>SUMIFS(Summary!K$350:K$407,Summary!$B$350:$B$407,COFOG!$A60)</f>
        <v>4319800</v>
      </c>
      <c r="I60" s="807"/>
      <c r="J60" s="807">
        <f>SUMIFS(Summary!L$350:L$407,Summary!$B$350:$B$407,COFOG!$A60)</f>
        <v>4319800</v>
      </c>
    </row>
    <row r="61" spans="1:10" hidden="1" x14ac:dyDescent="0.25">
      <c r="A61" s="834">
        <v>154</v>
      </c>
      <c r="B61" s="832">
        <v>701</v>
      </c>
      <c r="C61" s="832"/>
      <c r="D61" s="807">
        <f>SUMIFS(Summary!I$350:I$407,Summary!$B$350:$B$407,COFOG!$A61)</f>
        <v>306800</v>
      </c>
      <c r="F61" s="831">
        <f>SUMIFS(Summary!J$350:J$407,Summary!$B$350:$B$407,COFOG!$A61)</f>
        <v>305000</v>
      </c>
      <c r="H61" s="807">
        <f>SUMIFS(Summary!K$350:K$407,Summary!$B$350:$B$407,COFOG!$A61)</f>
        <v>338500</v>
      </c>
      <c r="I61" s="807"/>
      <c r="J61" s="807">
        <f>SUMIFS(Summary!L$350:L$407,Summary!$B$350:$B$407,COFOG!$A61)</f>
        <v>326400</v>
      </c>
    </row>
    <row r="62" spans="1:10" hidden="1" x14ac:dyDescent="0.25">
      <c r="A62" s="834">
        <v>155</v>
      </c>
      <c r="B62" s="832">
        <v>701</v>
      </c>
      <c r="C62" s="832"/>
      <c r="D62" s="807">
        <f>SUMIFS(Summary!I$350:I$407,Summary!$B$350:$B$407,COFOG!$A62)</f>
        <v>1786200</v>
      </c>
      <c r="F62" s="831">
        <f>SUMIFS(Summary!J$350:J$407,Summary!$B$350:$B$407,COFOG!$A62)</f>
        <v>1796900</v>
      </c>
      <c r="H62" s="807">
        <f>SUMIFS(Summary!K$350:K$407,Summary!$B$350:$B$407,COFOG!$A62)</f>
        <v>1838300</v>
      </c>
      <c r="I62" s="807"/>
      <c r="J62" s="807">
        <f>SUMIFS(Summary!L$350:L$407,Summary!$B$350:$B$407,COFOG!$A62)</f>
        <v>1844900</v>
      </c>
    </row>
    <row r="63" spans="1:10" hidden="1" x14ac:dyDescent="0.25">
      <c r="A63" s="834">
        <v>170</v>
      </c>
      <c r="B63" s="832">
        <v>701</v>
      </c>
      <c r="C63" s="832"/>
      <c r="D63" s="807">
        <f>SUMIFS(Summary!I$350:I$407,Summary!$B$350:$B$407,COFOG!$A63)</f>
        <v>0</v>
      </c>
      <c r="F63" s="831">
        <f>SUMIFS(Summary!J$350:J$407,Summary!$B$350:$B$407,COFOG!$A63)</f>
        <v>0</v>
      </c>
      <c r="H63" s="807">
        <f>SUMIFS(Summary!K$350:K$407,Summary!$B$350:$B$407,COFOG!$A63)</f>
        <v>0</v>
      </c>
      <c r="I63" s="807"/>
      <c r="J63" s="807">
        <f>SUMIFS(Summary!L$350:L$407,Summary!$B$350:$B$407,COFOG!$A63)</f>
        <v>0</v>
      </c>
    </row>
    <row r="64" spans="1:10" hidden="1" x14ac:dyDescent="0.25">
      <c r="A64" s="835">
        <v>171</v>
      </c>
      <c r="B64" s="832">
        <v>701</v>
      </c>
      <c r="C64" s="832"/>
      <c r="D64" s="807">
        <f>SUMIFS(Summary!I$350:I$407,Summary!$B$350:$B$407,COFOG!$A64)</f>
        <v>0</v>
      </c>
      <c r="F64" s="831">
        <f>SUMIFS(Summary!J$350:J$407,Summary!$B$350:$B$407,COFOG!$A64)</f>
        <v>0</v>
      </c>
      <c r="H64" s="807">
        <f>SUMIFS(Summary!K$350:K$407,Summary!$B$350:$B$407,COFOG!$A64)</f>
        <v>0</v>
      </c>
      <c r="I64" s="807"/>
      <c r="J64" s="807">
        <f>SUMIFS(Summary!L$350:L$407,Summary!$B$350:$B$407,COFOG!$A64)</f>
        <v>0</v>
      </c>
    </row>
    <row r="65" spans="1:10" hidden="1" x14ac:dyDescent="0.25">
      <c r="A65" s="835">
        <v>172</v>
      </c>
      <c r="B65" s="832">
        <v>704</v>
      </c>
      <c r="C65" s="832"/>
      <c r="D65" s="807">
        <f>SUMIFS(Summary!I$350:I$407,Summary!$B$350:$B$407,COFOG!$A65)</f>
        <v>0</v>
      </c>
      <c r="F65" s="831">
        <f>SUMIFS(Summary!J$350:J$407,Summary!$B$350:$B$407,COFOG!$A65)</f>
        <v>0</v>
      </c>
      <c r="H65" s="807">
        <f>SUMIFS(Summary!K$350:K$407,Summary!$B$350:$B$407,COFOG!$A65)</f>
        <v>0</v>
      </c>
      <c r="I65" s="807"/>
      <c r="J65" s="807">
        <f>SUMIFS(Summary!L$350:L$407,Summary!$B$350:$B$407,COFOG!$A65)</f>
        <v>0</v>
      </c>
    </row>
    <row r="66" spans="1:10" hidden="1" x14ac:dyDescent="0.25">
      <c r="A66" s="834">
        <v>173</v>
      </c>
      <c r="B66" s="832">
        <v>708</v>
      </c>
      <c r="C66" s="832"/>
      <c r="D66" s="807">
        <f>SUMIFS(Summary!I$350:I$407,Summary!$B$350:$B$407,COFOG!$A66)</f>
        <v>0</v>
      </c>
      <c r="F66" s="831">
        <f>SUMIFS(Summary!J$350:J$407,Summary!$B$350:$B$407,COFOG!$A66)</f>
        <v>0</v>
      </c>
      <c r="H66" s="807">
        <f>SUMIFS(Summary!K$350:K$407,Summary!$B$350:$B$407,COFOG!$A66)</f>
        <v>0</v>
      </c>
      <c r="I66" s="807"/>
      <c r="J66" s="807">
        <f>SUMIFS(Summary!L$350:L$407,Summary!$B$350:$B$407,COFOG!$A66)</f>
        <v>0</v>
      </c>
    </row>
    <row r="67" spans="1:10" hidden="1" x14ac:dyDescent="0.25">
      <c r="A67" s="834">
        <v>200</v>
      </c>
      <c r="B67" s="832">
        <v>704</v>
      </c>
      <c r="C67" s="832"/>
      <c r="D67" s="807">
        <f>SUMIFS(Summary!I$350:I$407,Summary!$B$350:$B$407,COFOG!$A67)</f>
        <v>1839900</v>
      </c>
      <c r="F67" s="831">
        <f>SUMIFS(Summary!J$350:J$407,Summary!$B$350:$B$407,COFOG!$A67)</f>
        <v>2568700</v>
      </c>
      <c r="H67" s="807">
        <f>SUMIFS(Summary!K$350:K$407,Summary!$B$350:$B$407,COFOG!$A67)</f>
        <v>2233800</v>
      </c>
      <c r="I67" s="807"/>
      <c r="J67" s="807">
        <f>SUMIFS(Summary!L$350:L$407,Summary!$B$350:$B$407,COFOG!$A67)</f>
        <v>2236400</v>
      </c>
    </row>
    <row r="68" spans="1:10" hidden="1" x14ac:dyDescent="0.25">
      <c r="A68" s="834">
        <v>203</v>
      </c>
      <c r="B68" s="832">
        <v>704</v>
      </c>
      <c r="C68" s="832"/>
      <c r="D68" s="807">
        <f>SUMIFS(Summary!I$350:I$407,Summary!$B$350:$B$407,COFOG!$A68)</f>
        <v>3520400</v>
      </c>
      <c r="F68" s="831">
        <f>SUMIFS(Summary!J$350:J$407,Summary!$B$350:$B$407,COFOG!$A68)</f>
        <v>3480000</v>
      </c>
      <c r="H68" s="807">
        <f>SUMIFS(Summary!K$350:K$407,Summary!$B$350:$B$407,COFOG!$A68)</f>
        <v>3738900</v>
      </c>
      <c r="I68" s="807"/>
      <c r="J68" s="807">
        <f>SUMIFS(Summary!L$350:L$407,Summary!$B$350:$B$407,COFOG!$A68)</f>
        <v>3743600</v>
      </c>
    </row>
    <row r="69" spans="1:10" hidden="1" x14ac:dyDescent="0.25">
      <c r="A69" s="834">
        <v>204</v>
      </c>
      <c r="B69" s="832">
        <v>704</v>
      </c>
      <c r="C69" s="832"/>
      <c r="D69" s="807">
        <f>SUMIFS(Summary!I$350:I$407,Summary!$B$350:$B$407,COFOG!$A69)</f>
        <v>611600</v>
      </c>
      <c r="F69" s="831">
        <f>SUMIFS(Summary!J$350:J$407,Summary!$B$350:$B$407,COFOG!$A69)</f>
        <v>765900</v>
      </c>
      <c r="H69" s="807">
        <f>SUMIFS(Summary!K$350:K$407,Summary!$B$350:$B$407,COFOG!$A69)</f>
        <v>795000</v>
      </c>
      <c r="I69" s="807"/>
      <c r="J69" s="807">
        <f>SUMIFS(Summary!L$350:L$407,Summary!$B$350:$B$407,COFOG!$A69)</f>
        <v>799700</v>
      </c>
    </row>
    <row r="70" spans="1:10" hidden="1" x14ac:dyDescent="0.25">
      <c r="A70" s="834">
        <v>205</v>
      </c>
      <c r="B70" s="832">
        <v>704</v>
      </c>
      <c r="C70" s="832"/>
      <c r="D70" s="807">
        <f>SUMIFS(Summary!I$350:I$407,Summary!$B$350:$B$407,COFOG!$A70)</f>
        <v>1013700</v>
      </c>
      <c r="F70" s="831">
        <f>SUMIFS(Summary!J$350:J$407,Summary!$B$350:$B$407,COFOG!$A70)</f>
        <v>1024100</v>
      </c>
      <c r="H70" s="807">
        <f>SUMIFS(Summary!K$350:K$407,Summary!$B$350:$B$407,COFOG!$A70)</f>
        <v>1070700</v>
      </c>
      <c r="I70" s="807"/>
      <c r="J70" s="807">
        <f>SUMIFS(Summary!L$350:L$407,Summary!$B$350:$B$407,COFOG!$A70)</f>
        <v>1083000</v>
      </c>
    </row>
    <row r="71" spans="1:10" hidden="1" x14ac:dyDescent="0.25">
      <c r="A71" s="834">
        <v>206</v>
      </c>
      <c r="B71" s="832">
        <v>704</v>
      </c>
      <c r="C71" s="832"/>
      <c r="D71" s="807">
        <f>SUMIFS(Summary!I$350:I$407,Summary!$B$350:$B$407,COFOG!$A71)</f>
        <v>3849200</v>
      </c>
      <c r="F71" s="831">
        <f>SUMIFS(Summary!J$350:J$407,Summary!$B$350:$B$407,COFOG!$A71)</f>
        <v>3925800</v>
      </c>
      <c r="H71" s="807">
        <f>SUMIFS(Summary!K$350:K$407,Summary!$B$350:$B$407,COFOG!$A71)</f>
        <v>4040300</v>
      </c>
      <c r="I71" s="807"/>
      <c r="J71" s="807">
        <f>SUMIFS(Summary!L$350:L$407,Summary!$B$350:$B$407,COFOG!$A71)</f>
        <v>4068800</v>
      </c>
    </row>
    <row r="72" spans="1:10" hidden="1" x14ac:dyDescent="0.25">
      <c r="A72" s="834">
        <v>207</v>
      </c>
      <c r="B72" s="832">
        <v>704</v>
      </c>
      <c r="C72" s="832"/>
      <c r="D72" s="807">
        <f>SUMIFS(Summary!I$350:I$407,Summary!$B$350:$B$407,COFOG!$A72)</f>
        <v>488300</v>
      </c>
      <c r="F72" s="831">
        <f>SUMIFS(Summary!J$350:J$407,Summary!$B$350:$B$407,COFOG!$A72)</f>
        <v>507500</v>
      </c>
      <c r="H72" s="807">
        <f>SUMIFS(Summary!K$350:K$407,Summary!$B$350:$B$407,COFOG!$A72)</f>
        <v>526900</v>
      </c>
      <c r="I72" s="807"/>
      <c r="J72" s="807">
        <f>SUMIFS(Summary!L$350:L$407,Summary!$B$350:$B$407,COFOG!$A72)</f>
        <v>531100</v>
      </c>
    </row>
    <row r="73" spans="1:10" hidden="1" x14ac:dyDescent="0.25">
      <c r="A73" s="834">
        <v>208</v>
      </c>
      <c r="B73" s="832">
        <v>701</v>
      </c>
      <c r="C73" s="832"/>
      <c r="D73" s="807">
        <f>SUMIFS(Summary!I$350:I$407,Summary!$B$350:$B$407,COFOG!$A73)</f>
        <v>355100</v>
      </c>
      <c r="F73" s="831">
        <f>SUMIFS(Summary!J$350:J$407,Summary!$B$350:$B$407,COFOG!$A73)</f>
        <v>389800</v>
      </c>
      <c r="H73" s="807">
        <f>SUMIFS(Summary!K$350:K$407,Summary!$B$350:$B$407,COFOG!$A73)</f>
        <v>424300</v>
      </c>
      <c r="I73" s="807"/>
      <c r="J73" s="807">
        <f>SUMIFS(Summary!L$350:L$407,Summary!$B$350:$B$407,COFOG!$A73)</f>
        <v>447800</v>
      </c>
    </row>
    <row r="74" spans="1:10" hidden="1" x14ac:dyDescent="0.25">
      <c r="A74" s="834">
        <v>300</v>
      </c>
      <c r="B74" s="832">
        <v>704</v>
      </c>
      <c r="C74" s="832"/>
      <c r="D74" s="807">
        <f>SUMIFS(Summary!I$350:I$407,Summary!$B$350:$B$407,COFOG!$A74)</f>
        <v>1215600</v>
      </c>
      <c r="F74" s="831">
        <f>SUMIFS(Summary!J$350:J$407,Summary!$B$350:$B$407,COFOG!$A74)</f>
        <v>1661100</v>
      </c>
      <c r="H74" s="807">
        <f>SUMIFS(Summary!K$350:K$407,Summary!$B$350:$B$407,COFOG!$A74)</f>
        <v>1669500</v>
      </c>
      <c r="I74" s="807"/>
      <c r="J74" s="807">
        <f>SUMIFS(Summary!L$350:L$407,Summary!$B$350:$B$407,COFOG!$A74)</f>
        <v>1676900</v>
      </c>
    </row>
    <row r="75" spans="1:10" hidden="1" x14ac:dyDescent="0.25">
      <c r="A75" s="834">
        <v>301</v>
      </c>
      <c r="B75" s="832">
        <v>704</v>
      </c>
      <c r="C75" s="832"/>
      <c r="D75" s="807">
        <f>SUMIFS(Summary!I$350:I$407,Summary!$B$350:$B$407,COFOG!$A75)</f>
        <v>1615800</v>
      </c>
      <c r="F75" s="831">
        <f>SUMIFS(Summary!J$350:J$407,Summary!$B$350:$B$407,COFOG!$A75)</f>
        <v>1678000</v>
      </c>
      <c r="H75" s="807">
        <f>SUMIFS(Summary!K$350:K$407,Summary!$B$350:$B$407,COFOG!$A75)</f>
        <v>1697500</v>
      </c>
      <c r="I75" s="807"/>
      <c r="J75" s="807">
        <f>SUMIFS(Summary!L$350:L$407,Summary!$B$350:$B$407,COFOG!$A75)</f>
        <v>1693000</v>
      </c>
    </row>
    <row r="76" spans="1:10" hidden="1" x14ac:dyDescent="0.25">
      <c r="A76" s="834">
        <v>302</v>
      </c>
      <c r="B76" s="832">
        <v>704</v>
      </c>
      <c r="C76" s="832"/>
      <c r="D76" s="807">
        <f>SUMIFS(Summary!I$350:I$407,Summary!$B$350:$B$407,COFOG!$A76)</f>
        <v>735100</v>
      </c>
      <c r="F76" s="831">
        <f>SUMIFS(Summary!J$350:J$407,Summary!$B$350:$B$407,COFOG!$A76)</f>
        <v>702100</v>
      </c>
      <c r="H76" s="807">
        <f>SUMIFS(Summary!K$350:K$407,Summary!$B$350:$B$407,COFOG!$A76)</f>
        <v>785200</v>
      </c>
      <c r="I76" s="807"/>
      <c r="J76" s="807">
        <f>SUMIFS(Summary!L$350:L$407,Summary!$B$350:$B$407,COFOG!$A76)</f>
        <v>795500</v>
      </c>
    </row>
    <row r="77" spans="1:10" hidden="1" x14ac:dyDescent="0.25">
      <c r="A77" s="834">
        <v>303</v>
      </c>
      <c r="B77" s="832">
        <v>704</v>
      </c>
      <c r="C77" s="832"/>
      <c r="D77" s="807">
        <f>SUMIFS(Summary!I$350:I$407,Summary!$B$350:$B$407,COFOG!$A77)</f>
        <v>591000</v>
      </c>
      <c r="F77" s="831">
        <f>SUMIFS(Summary!J$350:J$407,Summary!$B$350:$B$407,COFOG!$A77)</f>
        <v>651000</v>
      </c>
      <c r="H77" s="807">
        <f>SUMIFS(Summary!K$350:K$407,Summary!$B$350:$B$407,COFOG!$A77)</f>
        <v>674000</v>
      </c>
      <c r="I77" s="807"/>
      <c r="J77" s="807">
        <f>SUMIFS(Summary!L$350:L$407,Summary!$B$350:$B$407,COFOG!$A77)</f>
        <v>683300</v>
      </c>
    </row>
    <row r="78" spans="1:10" hidden="1" x14ac:dyDescent="0.25">
      <c r="A78" s="834">
        <v>304</v>
      </c>
      <c r="B78" s="832">
        <v>705</v>
      </c>
      <c r="C78" s="832"/>
      <c r="D78" s="807">
        <f>SUMIFS(Summary!I$350:I$407,Summary!$B$350:$B$407,COFOG!$A78)</f>
        <v>869900</v>
      </c>
      <c r="F78" s="831">
        <f>SUMIFS(Summary!J$350:J$407,Summary!$B$350:$B$407,COFOG!$A78)</f>
        <v>946300</v>
      </c>
      <c r="H78" s="807">
        <f>SUMIFS(Summary!K$350:K$407,Summary!$B$350:$B$407,COFOG!$A78)</f>
        <v>983100</v>
      </c>
      <c r="I78" s="807"/>
      <c r="J78" s="807">
        <f>SUMIFS(Summary!L$350:L$407,Summary!$B$350:$B$407,COFOG!$A78)</f>
        <v>952500</v>
      </c>
    </row>
    <row r="79" spans="1:10" hidden="1" x14ac:dyDescent="0.25">
      <c r="A79" s="834">
        <v>305</v>
      </c>
      <c r="B79" s="832">
        <v>706</v>
      </c>
      <c r="C79" s="832"/>
      <c r="D79" s="807">
        <f>SUMIFS(Summary!I$350:I$407,Summary!$B$350:$B$407,COFOG!$A79)</f>
        <v>505300</v>
      </c>
      <c r="F79" s="831">
        <f>SUMIFS(Summary!J$350:J$407,Summary!$B$350:$B$407,COFOG!$A79)</f>
        <v>566800</v>
      </c>
      <c r="H79" s="807">
        <f>SUMIFS(Summary!K$350:K$407,Summary!$B$350:$B$407,COFOG!$A79)</f>
        <v>595600</v>
      </c>
      <c r="I79" s="807"/>
      <c r="J79" s="807">
        <f>SUMIFS(Summary!L$350:L$407,Summary!$B$350:$B$407,COFOG!$A79)</f>
        <v>601000</v>
      </c>
    </row>
    <row r="80" spans="1:10" hidden="1" x14ac:dyDescent="0.25">
      <c r="A80" s="834">
        <v>306</v>
      </c>
      <c r="B80" s="832">
        <v>704</v>
      </c>
      <c r="C80" s="832"/>
      <c r="D80" s="807">
        <f>SUMIFS(Summary!I$350:I$407,Summary!$B$350:$B$407,COFOG!$A80)</f>
        <v>152700</v>
      </c>
      <c r="F80" s="831">
        <f>SUMIFS(Summary!J$350:J$407,Summary!$B$350:$B$407,COFOG!$A80)</f>
        <v>212800</v>
      </c>
      <c r="H80" s="807">
        <f>SUMIFS(Summary!K$350:K$407,Summary!$B$350:$B$407,COFOG!$A80)</f>
        <v>244600</v>
      </c>
      <c r="I80" s="807"/>
      <c r="J80" s="807">
        <f>SUMIFS(Summary!L$350:L$407,Summary!$B$350:$B$407,COFOG!$A80)</f>
        <v>247800</v>
      </c>
    </row>
    <row r="81" spans="1:10" hidden="1" x14ac:dyDescent="0.25">
      <c r="A81" s="834">
        <v>350</v>
      </c>
      <c r="B81" s="832">
        <v>704</v>
      </c>
      <c r="C81" s="832"/>
      <c r="D81" s="807">
        <f>SUMIFS(Summary!I$350:I$407,Summary!$B$350:$B$407,COFOG!$A81)</f>
        <v>8855600</v>
      </c>
      <c r="F81" s="831">
        <f>SUMIFS(Summary!J$350:J$407,Summary!$B$350:$B$407,COFOG!$A81)</f>
        <v>8643100</v>
      </c>
      <c r="H81" s="807">
        <f>SUMIFS(Summary!K$350:K$407,Summary!$B$350:$B$407,COFOG!$A81)</f>
        <v>8660200</v>
      </c>
      <c r="I81" s="807"/>
      <c r="J81" s="807">
        <f>SUMIFS(Summary!L$350:L$407,Summary!$B$350:$B$407,COFOG!$A81)</f>
        <v>8677400</v>
      </c>
    </row>
    <row r="82" spans="1:10" hidden="1" x14ac:dyDescent="0.25">
      <c r="A82" s="834">
        <v>351</v>
      </c>
      <c r="B82" s="832">
        <v>704</v>
      </c>
      <c r="C82" s="832"/>
      <c r="D82" s="807">
        <f>SUMIFS(Summary!I$350:I$407,Summary!$B$350:$B$407,COFOG!$A82)</f>
        <v>5378100</v>
      </c>
      <c r="F82" s="831">
        <f>SUMIFS(Summary!J$350:J$407,Summary!$B$350:$B$407,COFOG!$A82)</f>
        <v>5431400</v>
      </c>
      <c r="H82" s="807">
        <f>SUMIFS(Summary!K$350:K$407,Summary!$B$350:$B$407,COFOG!$A82)</f>
        <v>5496200</v>
      </c>
      <c r="I82" s="807"/>
      <c r="J82" s="807">
        <f>SUMIFS(Summary!L$350:L$407,Summary!$B$350:$B$407,COFOG!$A82)</f>
        <v>5527400</v>
      </c>
    </row>
    <row r="83" spans="1:10" hidden="1" x14ac:dyDescent="0.25">
      <c r="A83" s="834">
        <v>352</v>
      </c>
      <c r="B83" s="832">
        <v>704</v>
      </c>
      <c r="C83" s="832"/>
      <c r="D83" s="807">
        <f>SUMIFS(Summary!I$350:I$407,Summary!$B$350:$B$407,COFOG!$A83)</f>
        <v>3169800</v>
      </c>
      <c r="F83" s="831">
        <f>SUMIFS(Summary!J$350:J$407,Summary!$B$350:$B$407,COFOG!$A83)</f>
        <v>3204700</v>
      </c>
      <c r="H83" s="807">
        <f>SUMIFS(Summary!K$350:K$407,Summary!$B$350:$B$407,COFOG!$A83)</f>
        <v>3238700</v>
      </c>
      <c r="I83" s="807"/>
      <c r="J83" s="807">
        <f>SUMIFS(Summary!L$350:L$407,Summary!$B$350:$B$407,COFOG!$A83)</f>
        <v>3267000</v>
      </c>
    </row>
    <row r="84" spans="1:10" hidden="1" x14ac:dyDescent="0.25">
      <c r="A84" s="834">
        <v>353</v>
      </c>
      <c r="B84" s="832">
        <v>704</v>
      </c>
      <c r="C84" s="832"/>
      <c r="D84" s="807">
        <f>SUMIFS(Summary!I$350:I$407,Summary!$B$350:$B$407,COFOG!$A84)</f>
        <v>2041600</v>
      </c>
      <c r="F84" s="831">
        <f>SUMIFS(Summary!J$350:J$407,Summary!$B$350:$B$407,COFOG!$A84)</f>
        <v>2137300</v>
      </c>
      <c r="H84" s="807">
        <f>SUMIFS(Summary!K$350:K$407,Summary!$B$350:$B$407,COFOG!$A84)</f>
        <v>2175900</v>
      </c>
      <c r="I84" s="807"/>
      <c r="J84" s="807">
        <f>SUMIFS(Summary!L$350:L$407,Summary!$B$350:$B$407,COFOG!$A84)</f>
        <v>2203800</v>
      </c>
    </row>
    <row r="85" spans="1:10" hidden="1" x14ac:dyDescent="0.25">
      <c r="A85" s="834">
        <v>355</v>
      </c>
      <c r="B85" s="832">
        <v>704</v>
      </c>
      <c r="C85" s="832"/>
      <c r="D85" s="807">
        <f>SUMIFS(Summary!I$350:I$407,Summary!$B$350:$B$407,COFOG!$A85)</f>
        <v>272900</v>
      </c>
      <c r="F85" s="831">
        <f>SUMIFS(Summary!J$350:J$407,Summary!$B$350:$B$407,COFOG!$A85)</f>
        <v>294900</v>
      </c>
      <c r="H85" s="807">
        <f>SUMIFS(Summary!K$350:K$407,Summary!$B$350:$B$407,COFOG!$A85)</f>
        <v>300900</v>
      </c>
      <c r="I85" s="807"/>
      <c r="J85" s="807">
        <f>SUMIFS(Summary!L$350:L$407,Summary!$B$350:$B$407,COFOG!$A85)</f>
        <v>307000</v>
      </c>
    </row>
    <row r="86" spans="1:10" hidden="1" x14ac:dyDescent="0.25">
      <c r="A86" s="834">
        <v>400</v>
      </c>
      <c r="B86" s="832">
        <v>709</v>
      </c>
      <c r="C86" s="832"/>
      <c r="D86" s="807">
        <f>SUMIFS(Summary!I$350:I$407,Summary!$B$350:$B$407,COFOG!$A86)</f>
        <v>2939000</v>
      </c>
      <c r="F86" s="831">
        <f>SUMIFS(Summary!J$350:J$407,Summary!$B$350:$B$407,COFOG!$A86)</f>
        <v>3350400</v>
      </c>
      <c r="H86" s="807">
        <f>SUMIFS(Summary!K$350:K$407,Summary!$B$350:$B$407,COFOG!$A86)</f>
        <v>3343400</v>
      </c>
      <c r="I86" s="807"/>
      <c r="J86" s="807">
        <f>SUMIFS(Summary!L$350:L$407,Summary!$B$350:$B$407,COFOG!$A86)</f>
        <v>3355300</v>
      </c>
    </row>
    <row r="87" spans="1:10" hidden="1" x14ac:dyDescent="0.25">
      <c r="A87" s="834">
        <v>401</v>
      </c>
      <c r="B87" s="832">
        <v>709</v>
      </c>
      <c r="C87" s="832"/>
      <c r="D87" s="807">
        <f>SUMIFS(Summary!I$350:I$407,Summary!$B$350:$B$407,COFOG!$A87)</f>
        <v>1485900</v>
      </c>
      <c r="F87" s="831">
        <f>SUMIFS(Summary!J$350:J$407,Summary!$B$350:$B$407,COFOG!$A87)</f>
        <v>1627400</v>
      </c>
      <c r="H87" s="807">
        <f>SUMIFS(Summary!K$350:K$407,Summary!$B$350:$B$407,COFOG!$A87)</f>
        <v>1662700</v>
      </c>
      <c r="I87" s="807"/>
      <c r="J87" s="807">
        <f>SUMIFS(Summary!L$350:L$407,Summary!$B$350:$B$407,COFOG!$A87)</f>
        <v>1698000</v>
      </c>
    </row>
    <row r="88" spans="1:10" hidden="1" x14ac:dyDescent="0.25">
      <c r="A88" s="834">
        <v>402</v>
      </c>
      <c r="B88" s="832">
        <v>709</v>
      </c>
      <c r="C88" s="832"/>
      <c r="D88" s="807">
        <f>SUMIFS(Summary!I$350:I$407,Summary!$B$350:$B$407,COFOG!$A88)</f>
        <v>2795100</v>
      </c>
      <c r="F88" s="831">
        <f>SUMIFS(Summary!J$350:J$407,Summary!$B$350:$B$407,COFOG!$A88)</f>
        <v>3166600</v>
      </c>
      <c r="H88" s="807">
        <f>SUMIFS(Summary!K$350:K$407,Summary!$B$350:$B$407,COFOG!$A88)</f>
        <v>3298400</v>
      </c>
      <c r="I88" s="807"/>
      <c r="J88" s="807">
        <f>SUMIFS(Summary!L$350:L$407,Summary!$B$350:$B$407,COFOG!$A88)</f>
        <v>3299700</v>
      </c>
    </row>
    <row r="89" spans="1:10" hidden="1" x14ac:dyDescent="0.25">
      <c r="A89" s="834">
        <v>403</v>
      </c>
      <c r="B89" s="832">
        <v>709</v>
      </c>
      <c r="C89" s="832"/>
      <c r="D89" s="807">
        <f>SUMIFS(Summary!I$350:I$407,Summary!$B$350:$B$407,COFOG!$A89)</f>
        <v>368100</v>
      </c>
      <c r="F89" s="831">
        <f>SUMIFS(Summary!J$350:J$407,Summary!$B$350:$B$407,COFOG!$A89)</f>
        <v>363200</v>
      </c>
      <c r="H89" s="807">
        <f>SUMIFS(Summary!K$350:K$407,Summary!$B$350:$B$407,COFOG!$A89)</f>
        <v>367000</v>
      </c>
      <c r="I89" s="807"/>
      <c r="J89" s="807">
        <f>SUMIFS(Summary!L$350:L$407,Summary!$B$350:$B$407,COFOG!$A89)</f>
        <v>371300</v>
      </c>
    </row>
    <row r="90" spans="1:10" hidden="1" x14ac:dyDescent="0.25">
      <c r="A90" s="834">
        <v>404</v>
      </c>
      <c r="B90" s="832">
        <v>709</v>
      </c>
      <c r="C90" s="832"/>
      <c r="D90" s="807">
        <f>SUMIFS(Summary!I$350:I$407,Summary!$B$350:$B$407,COFOG!$A90)</f>
        <v>889200</v>
      </c>
      <c r="F90" s="831">
        <f>SUMIFS(Summary!J$350:J$407,Summary!$B$350:$B$407,COFOG!$A90)</f>
        <v>889800</v>
      </c>
      <c r="H90" s="807">
        <f>SUMIFS(Summary!K$350:K$407,Summary!$B$350:$B$407,COFOG!$A90)</f>
        <v>901900</v>
      </c>
      <c r="I90" s="807"/>
      <c r="J90" s="807">
        <f>SUMIFS(Summary!L$350:L$407,Summary!$B$350:$B$407,COFOG!$A90)</f>
        <v>911600</v>
      </c>
    </row>
    <row r="91" spans="1:10" hidden="1" x14ac:dyDescent="0.25">
      <c r="A91" s="834">
        <v>406</v>
      </c>
      <c r="B91" s="832">
        <v>708</v>
      </c>
      <c r="C91" s="832"/>
      <c r="D91" s="807">
        <f>SUMIFS(Summary!I$350:I$407,Summary!$B$350:$B$407,COFOG!$A91)</f>
        <v>1457000</v>
      </c>
      <c r="F91" s="831">
        <f>SUMIFS(Summary!J$350:J$407,Summary!$B$350:$B$407,COFOG!$A91)</f>
        <v>1479900</v>
      </c>
      <c r="H91" s="807">
        <f>SUMIFS(Summary!K$350:K$407,Summary!$B$350:$B$407,COFOG!$A91)</f>
        <v>1481900</v>
      </c>
      <c r="I91" s="807"/>
      <c r="J91" s="807">
        <f>SUMIFS(Summary!L$350:L$407,Summary!$B$350:$B$407,COFOG!$A91)</f>
        <v>1484100</v>
      </c>
    </row>
    <row r="92" spans="1:10" hidden="1" x14ac:dyDescent="0.25">
      <c r="A92" s="834">
        <v>450</v>
      </c>
      <c r="B92" s="832">
        <v>707</v>
      </c>
      <c r="C92" s="832"/>
      <c r="D92" s="807">
        <f>SUMIFS(Summary!I$350:I$407,Summary!$B$350:$B$407,COFOG!$A92)</f>
        <v>4648800</v>
      </c>
      <c r="F92" s="831">
        <f>SUMIFS(Summary!J$350:J$407,Summary!$B$350:$B$407,COFOG!$A92)</f>
        <v>3288800</v>
      </c>
      <c r="H92" s="807">
        <f>SUMIFS(Summary!K$350:K$407,Summary!$B$350:$B$407,COFOG!$A92)</f>
        <v>1099700</v>
      </c>
      <c r="I92" s="807"/>
      <c r="J92" s="807">
        <f>SUMIFS(Summary!L$350:L$407,Summary!$B$350:$B$407,COFOG!$A92)</f>
        <v>1106800</v>
      </c>
    </row>
    <row r="93" spans="1:10" hidden="1" x14ac:dyDescent="0.25">
      <c r="A93" s="834">
        <v>451</v>
      </c>
      <c r="B93" s="832">
        <v>707</v>
      </c>
      <c r="C93" s="832"/>
      <c r="D93" s="807">
        <f>SUMIFS(Summary!I$350:I$407,Summary!$B$350:$B$407,COFOG!$A93)</f>
        <v>2010500</v>
      </c>
      <c r="F93" s="831">
        <f>SUMIFS(Summary!J$350:J$407,Summary!$B$350:$B$407,COFOG!$A93)</f>
        <v>2341300</v>
      </c>
      <c r="H93" s="807">
        <f>SUMIFS(Summary!K$350:K$407,Summary!$B$350:$B$407,COFOG!$A93)</f>
        <v>2444100</v>
      </c>
      <c r="I93" s="807"/>
      <c r="J93" s="807">
        <f>SUMIFS(Summary!L$350:L$407,Summary!$B$350:$B$407,COFOG!$A93)</f>
        <v>2447200</v>
      </c>
    </row>
    <row r="94" spans="1:10" hidden="1" x14ac:dyDescent="0.25">
      <c r="A94" s="834">
        <v>452</v>
      </c>
      <c r="B94" s="832">
        <v>707</v>
      </c>
      <c r="C94" s="832"/>
      <c r="D94" s="807">
        <f>SUMIFS(Summary!I$350:I$407,Summary!$B$350:$B$407,COFOG!$A94)</f>
        <v>7722700</v>
      </c>
      <c r="F94" s="831">
        <f>SUMIFS(Summary!J$350:J$407,Summary!$B$350:$B$407,COFOG!$A94)</f>
        <v>8325500</v>
      </c>
      <c r="H94" s="807">
        <f>SUMIFS(Summary!K$350:K$407,Summary!$B$350:$B$407,COFOG!$A94)</f>
        <v>8432000</v>
      </c>
      <c r="I94" s="807"/>
      <c r="J94" s="807">
        <f>SUMIFS(Summary!L$350:L$407,Summary!$B$350:$B$407,COFOG!$A94)</f>
        <v>8343000</v>
      </c>
    </row>
    <row r="95" spans="1:10" hidden="1" x14ac:dyDescent="0.25">
      <c r="A95" s="834">
        <v>454</v>
      </c>
      <c r="B95" s="832">
        <v>710</v>
      </c>
      <c r="C95" s="832"/>
      <c r="D95" s="807">
        <f>SUMIFS(Summary!I$350:I$407,Summary!$B$350:$B$407,COFOG!$A95)</f>
        <v>5253500</v>
      </c>
      <c r="F95" s="831">
        <f>SUMIFS(Summary!J$350:J$407,Summary!$B$350:$B$407,COFOG!$A95)</f>
        <v>5862600</v>
      </c>
      <c r="H95" s="807">
        <f>SUMIFS(Summary!K$350:K$407,Summary!$B$350:$B$407,COFOG!$A95)</f>
        <v>5980100</v>
      </c>
      <c r="I95" s="807"/>
      <c r="J95" s="807">
        <f>SUMIFS(Summary!L$350:L$407,Summary!$B$350:$B$407,COFOG!$A95)</f>
        <v>6091500</v>
      </c>
    </row>
    <row r="96" spans="1:10" hidden="1" x14ac:dyDescent="0.25">
      <c r="A96" s="834">
        <v>455</v>
      </c>
      <c r="B96" s="832">
        <v>707</v>
      </c>
      <c r="C96" s="832"/>
      <c r="D96" s="807">
        <f>SUMIFS(Summary!I$350:I$407,Summary!$B$350:$B$407,COFOG!$A96)</f>
        <v>1442100</v>
      </c>
      <c r="F96" s="831">
        <f>SUMIFS(Summary!J$350:J$407,Summary!$B$350:$B$407,COFOG!$A96)</f>
        <v>1532100</v>
      </c>
      <c r="H96" s="807">
        <f>SUMIFS(Summary!K$350:K$407,Summary!$B$350:$B$407,COFOG!$A96)</f>
        <v>1513100</v>
      </c>
      <c r="I96" s="807"/>
      <c r="J96" s="807">
        <f>SUMIFS(Summary!L$350:L$407,Summary!$B$350:$B$407,COFOG!$A96)</f>
        <v>1534600</v>
      </c>
    </row>
    <row r="97" spans="1:6" hidden="1" x14ac:dyDescent="0.25">
      <c r="A97" s="832"/>
      <c r="B97" s="832"/>
      <c r="C97" s="832"/>
      <c r="D97" s="807">
        <f>SUM(D40:D96)</f>
        <v>123228500</v>
      </c>
      <c r="F97" s="831">
        <f>SUM(F40:F96)</f>
        <v>126602800</v>
      </c>
    </row>
    <row r="98" spans="1:6" hidden="1" x14ac:dyDescent="0.25"/>
    <row r="99" spans="1:6" hidden="1" x14ac:dyDescent="0.25"/>
    <row r="100" spans="1:6" hidden="1" x14ac:dyDescent="0.25"/>
    <row r="101" spans="1:6" hidden="1" x14ac:dyDescent="0.25"/>
    <row r="102" spans="1:6" hidden="1" x14ac:dyDescent="0.25"/>
    <row r="103" spans="1:6" hidden="1" x14ac:dyDescent="0.25"/>
    <row r="104" spans="1:6" hidden="1" x14ac:dyDescent="0.25"/>
    <row r="105" spans="1:6" hidden="1" x14ac:dyDescent="0.25"/>
    <row r="106" spans="1:6" hidden="1" x14ac:dyDescent="0.25"/>
    <row r="107" spans="1:6" hidden="1" x14ac:dyDescent="0.25"/>
    <row r="108" spans="1:6" hidden="1" x14ac:dyDescent="0.25"/>
    <row r="109" spans="1:6" hidden="1" x14ac:dyDescent="0.25"/>
    <row r="110" spans="1:6" hidden="1" x14ac:dyDescent="0.25"/>
    <row r="111" spans="1:6" hidden="1" x14ac:dyDescent="0.25"/>
    <row r="112" spans="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spans="4:7" hidden="1" x14ac:dyDescent="0.25"/>
    <row r="146" spans="4:7" hidden="1" x14ac:dyDescent="0.25"/>
    <row r="147" spans="4:7" hidden="1" x14ac:dyDescent="0.25"/>
    <row r="148" spans="4:7" hidden="1" x14ac:dyDescent="0.25"/>
    <row r="149" spans="4:7" hidden="1" x14ac:dyDescent="0.25"/>
    <row r="150" spans="4:7" hidden="1" x14ac:dyDescent="0.25"/>
    <row r="151" spans="4:7" hidden="1" x14ac:dyDescent="0.25"/>
    <row r="152" spans="4:7" hidden="1" x14ac:dyDescent="0.25"/>
    <row r="153" spans="4:7" hidden="1" x14ac:dyDescent="0.25"/>
    <row r="154" spans="4:7" hidden="1" x14ac:dyDescent="0.25"/>
    <row r="155" spans="4:7" x14ac:dyDescent="0.25">
      <c r="D155"/>
      <c r="E155"/>
      <c r="F155"/>
      <c r="G155"/>
    </row>
    <row r="156" spans="4:7" x14ac:dyDescent="0.25">
      <c r="D156"/>
      <c r="E156"/>
      <c r="F156"/>
      <c r="G156"/>
    </row>
    <row r="157" spans="4:7" x14ac:dyDescent="0.25">
      <c r="D157"/>
      <c r="E157"/>
      <c r="F157"/>
      <c r="G157"/>
    </row>
    <row r="158" spans="4:7" x14ac:dyDescent="0.25">
      <c r="D158"/>
      <c r="E158"/>
      <c r="F158"/>
      <c r="G158"/>
    </row>
    <row r="159" spans="4:7" x14ac:dyDescent="0.25">
      <c r="D159"/>
      <c r="E159"/>
      <c r="F159"/>
      <c r="G159"/>
    </row>
    <row r="160" spans="4:7" x14ac:dyDescent="0.25">
      <c r="D160"/>
      <c r="E160"/>
      <c r="F160"/>
      <c r="G160"/>
    </row>
    <row r="161" spans="4:7" x14ac:dyDescent="0.25">
      <c r="D161"/>
      <c r="E161"/>
      <c r="F161"/>
      <c r="G161"/>
    </row>
    <row r="162" spans="4:7" x14ac:dyDescent="0.25">
      <c r="D162"/>
      <c r="E162"/>
      <c r="F162"/>
      <c r="G162"/>
    </row>
    <row r="163" spans="4:7" x14ac:dyDescent="0.25">
      <c r="D163"/>
      <c r="E163"/>
      <c r="F163"/>
      <c r="G163"/>
    </row>
    <row r="164" spans="4:7" x14ac:dyDescent="0.25">
      <c r="D164"/>
      <c r="E164"/>
      <c r="F164"/>
      <c r="G164"/>
    </row>
    <row r="165" spans="4:7" x14ac:dyDescent="0.25">
      <c r="D165"/>
      <c r="E165"/>
      <c r="F165"/>
      <c r="G165"/>
    </row>
    <row r="166" spans="4:7" x14ac:dyDescent="0.25">
      <c r="D166"/>
      <c r="E166"/>
      <c r="F166"/>
      <c r="G166"/>
    </row>
    <row r="167" spans="4:7" x14ac:dyDescent="0.25">
      <c r="D167"/>
      <c r="E167"/>
      <c r="F167"/>
      <c r="G167"/>
    </row>
    <row r="168" spans="4:7" x14ac:dyDescent="0.25">
      <c r="D168"/>
      <c r="E168"/>
      <c r="F168"/>
      <c r="G168"/>
    </row>
    <row r="169" spans="4:7" x14ac:dyDescent="0.25">
      <c r="D169"/>
      <c r="E169"/>
      <c r="F169"/>
      <c r="G169"/>
    </row>
    <row r="170" spans="4:7" x14ac:dyDescent="0.25">
      <c r="D170"/>
      <c r="E170"/>
      <c r="F170"/>
      <c r="G170"/>
    </row>
    <row r="171" spans="4:7" x14ac:dyDescent="0.25">
      <c r="D171"/>
      <c r="E171"/>
      <c r="F171"/>
      <c r="G171"/>
    </row>
    <row r="172" spans="4:7" x14ac:dyDescent="0.25">
      <c r="D172"/>
      <c r="E172"/>
      <c r="F172"/>
      <c r="G172"/>
    </row>
    <row r="173" spans="4:7" x14ac:dyDescent="0.25">
      <c r="D173"/>
      <c r="E173"/>
      <c r="F173"/>
      <c r="G173"/>
    </row>
    <row r="174" spans="4:7" x14ac:dyDescent="0.25">
      <c r="D174"/>
      <c r="E174"/>
      <c r="F174"/>
      <c r="G174"/>
    </row>
    <row r="175" spans="4:7" x14ac:dyDescent="0.25">
      <c r="D175"/>
      <c r="E175"/>
      <c r="F175"/>
      <c r="G175"/>
    </row>
    <row r="176" spans="4:7" x14ac:dyDescent="0.25">
      <c r="D176"/>
      <c r="E176"/>
      <c r="F176"/>
      <c r="G176"/>
    </row>
    <row r="177" spans="4:7" x14ac:dyDescent="0.25">
      <c r="D177"/>
      <c r="E177"/>
      <c r="F177"/>
      <c r="G177"/>
    </row>
    <row r="178" spans="4:7" x14ac:dyDescent="0.25">
      <c r="D178"/>
      <c r="E178"/>
      <c r="F178"/>
      <c r="G178"/>
    </row>
    <row r="179" spans="4:7" x14ac:dyDescent="0.25">
      <c r="D179"/>
      <c r="E179"/>
      <c r="F179"/>
      <c r="G179"/>
    </row>
    <row r="180" spans="4:7" x14ac:dyDescent="0.25">
      <c r="D180"/>
      <c r="E180"/>
      <c r="F180"/>
      <c r="G180"/>
    </row>
    <row r="181" spans="4:7" x14ac:dyDescent="0.25">
      <c r="D181"/>
      <c r="E181"/>
      <c r="F181"/>
      <c r="G181"/>
    </row>
    <row r="182" spans="4:7" x14ac:dyDescent="0.25">
      <c r="D182"/>
      <c r="E182"/>
      <c r="F182"/>
      <c r="G182"/>
    </row>
    <row r="183" spans="4:7" x14ac:dyDescent="0.25">
      <c r="D183"/>
      <c r="E183"/>
      <c r="F183"/>
      <c r="G183"/>
    </row>
    <row r="184" spans="4:7" x14ac:dyDescent="0.25">
      <c r="D184"/>
      <c r="E184"/>
      <c r="F184"/>
      <c r="G184"/>
    </row>
    <row r="185" spans="4:7" x14ac:dyDescent="0.25">
      <c r="D185"/>
      <c r="E185"/>
      <c r="F185"/>
      <c r="G185"/>
    </row>
    <row r="186" spans="4:7" x14ac:dyDescent="0.25">
      <c r="D186"/>
      <c r="E186"/>
      <c r="F186"/>
      <c r="G186"/>
    </row>
    <row r="187" spans="4:7" x14ac:dyDescent="0.25">
      <c r="D187"/>
      <c r="E187"/>
      <c r="F187"/>
      <c r="G187"/>
    </row>
    <row r="188" spans="4:7" x14ac:dyDescent="0.25">
      <c r="D188"/>
      <c r="E188"/>
      <c r="F188"/>
      <c r="G188"/>
    </row>
    <row r="189" spans="4:7" x14ac:dyDescent="0.25">
      <c r="D189"/>
      <c r="E189"/>
      <c r="F189"/>
      <c r="G189"/>
    </row>
    <row r="190" spans="4:7" x14ac:dyDescent="0.25">
      <c r="D190"/>
      <c r="E190"/>
      <c r="F190"/>
      <c r="G190"/>
    </row>
    <row r="191" spans="4:7" x14ac:dyDescent="0.25">
      <c r="D191"/>
      <c r="E191"/>
      <c r="F191"/>
      <c r="G191"/>
    </row>
    <row r="192" spans="4:7" x14ac:dyDescent="0.25">
      <c r="D192"/>
      <c r="E192"/>
      <c r="F192"/>
      <c r="G192"/>
    </row>
    <row r="193" spans="4:7" x14ac:dyDescent="0.25">
      <c r="D193"/>
      <c r="E193"/>
      <c r="F193"/>
      <c r="G193"/>
    </row>
    <row r="194" spans="4:7" x14ac:dyDescent="0.25">
      <c r="D194"/>
      <c r="E194"/>
      <c r="F194"/>
      <c r="G194"/>
    </row>
    <row r="195" spans="4:7" x14ac:dyDescent="0.25">
      <c r="D195"/>
      <c r="E195"/>
      <c r="F195"/>
      <c r="G195"/>
    </row>
    <row r="196" spans="4:7" x14ac:dyDescent="0.25">
      <c r="D196"/>
      <c r="E196"/>
      <c r="F196"/>
      <c r="G196"/>
    </row>
    <row r="197" spans="4:7" x14ac:dyDescent="0.25">
      <c r="D197"/>
      <c r="E197"/>
      <c r="F197"/>
      <c r="G197"/>
    </row>
    <row r="198" spans="4:7" x14ac:dyDescent="0.25">
      <c r="D198"/>
      <c r="E198"/>
      <c r="F198"/>
      <c r="G198"/>
    </row>
    <row r="199" spans="4:7" x14ac:dyDescent="0.25">
      <c r="D199"/>
      <c r="E199"/>
      <c r="F199"/>
      <c r="G199"/>
    </row>
    <row r="200" spans="4:7" x14ac:dyDescent="0.25">
      <c r="D200"/>
      <c r="E200"/>
      <c r="F200"/>
      <c r="G200"/>
    </row>
    <row r="201" spans="4:7" x14ac:dyDescent="0.25">
      <c r="D201"/>
      <c r="E201"/>
      <c r="F201"/>
      <c r="G201"/>
    </row>
    <row r="202" spans="4:7" x14ac:dyDescent="0.25">
      <c r="D202"/>
      <c r="E202"/>
      <c r="F202"/>
      <c r="G202"/>
    </row>
    <row r="203" spans="4:7" x14ac:dyDescent="0.25">
      <c r="D203"/>
      <c r="E203"/>
      <c r="F203"/>
      <c r="G203"/>
    </row>
    <row r="204" spans="4:7" x14ac:dyDescent="0.25">
      <c r="D204"/>
      <c r="E204"/>
      <c r="F204"/>
      <c r="G204"/>
    </row>
    <row r="205" spans="4:7" x14ac:dyDescent="0.25">
      <c r="D205"/>
      <c r="E205"/>
      <c r="F205"/>
      <c r="G205"/>
    </row>
    <row r="206" spans="4:7" x14ac:dyDescent="0.25">
      <c r="D206"/>
      <c r="E206"/>
      <c r="F206"/>
      <c r="G206"/>
    </row>
    <row r="207" spans="4:7" x14ac:dyDescent="0.25">
      <c r="D207"/>
      <c r="E207"/>
      <c r="F207"/>
      <c r="G207"/>
    </row>
    <row r="208" spans="4:7" x14ac:dyDescent="0.25">
      <c r="D208"/>
      <c r="E208"/>
      <c r="F208"/>
      <c r="G208"/>
    </row>
    <row r="209" spans="4:7" x14ac:dyDescent="0.25">
      <c r="D209"/>
      <c r="E209"/>
      <c r="F209"/>
      <c r="G209"/>
    </row>
    <row r="210" spans="4:7" x14ac:dyDescent="0.25">
      <c r="D210"/>
      <c r="E210"/>
      <c r="F210"/>
      <c r="G210"/>
    </row>
    <row r="211" spans="4:7" x14ac:dyDescent="0.25">
      <c r="D211"/>
      <c r="E211"/>
      <c r="F211"/>
      <c r="G211"/>
    </row>
    <row r="212" spans="4:7" x14ac:dyDescent="0.25">
      <c r="D212"/>
      <c r="E212"/>
      <c r="F212"/>
      <c r="G212"/>
    </row>
    <row r="213" spans="4:7" x14ac:dyDescent="0.25">
      <c r="D213"/>
      <c r="E213"/>
      <c r="F213"/>
      <c r="G213"/>
    </row>
    <row r="214" spans="4:7" x14ac:dyDescent="0.25">
      <c r="D214"/>
      <c r="E214"/>
      <c r="F214"/>
      <c r="G214"/>
    </row>
    <row r="215" spans="4:7" x14ac:dyDescent="0.25">
      <c r="D215"/>
      <c r="E215"/>
      <c r="F215"/>
      <c r="G215"/>
    </row>
    <row r="216" spans="4:7" x14ac:dyDescent="0.25">
      <c r="D216"/>
      <c r="E216"/>
      <c r="F216"/>
      <c r="G216"/>
    </row>
    <row r="217" spans="4:7" x14ac:dyDescent="0.25">
      <c r="D217"/>
      <c r="E217"/>
      <c r="F217"/>
      <c r="G217"/>
    </row>
    <row r="218" spans="4:7" x14ac:dyDescent="0.25">
      <c r="D218"/>
      <c r="E218"/>
      <c r="F218"/>
      <c r="G218"/>
    </row>
    <row r="219" spans="4:7" x14ac:dyDescent="0.25">
      <c r="D219"/>
      <c r="E219"/>
      <c r="F219"/>
      <c r="G219"/>
    </row>
    <row r="220" spans="4:7" x14ac:dyDescent="0.25">
      <c r="D220"/>
      <c r="E220"/>
      <c r="F220"/>
      <c r="G220"/>
    </row>
    <row r="221" spans="4:7" x14ac:dyDescent="0.25">
      <c r="D221"/>
      <c r="E221"/>
      <c r="F221"/>
      <c r="G221"/>
    </row>
    <row r="222" spans="4:7" x14ac:dyDescent="0.25">
      <c r="D222"/>
      <c r="E222"/>
      <c r="F222"/>
      <c r="G222"/>
    </row>
    <row r="223" spans="4:7" x14ac:dyDescent="0.25">
      <c r="D223"/>
      <c r="E223"/>
      <c r="F223"/>
      <c r="G223"/>
    </row>
    <row r="224" spans="4:7" x14ac:dyDescent="0.25">
      <c r="D224"/>
      <c r="E224"/>
      <c r="F224"/>
      <c r="G224"/>
    </row>
    <row r="225" spans="4:7" x14ac:dyDescent="0.25">
      <c r="D225"/>
      <c r="E225"/>
      <c r="F225"/>
      <c r="G225"/>
    </row>
    <row r="226" spans="4:7" x14ac:dyDescent="0.25">
      <c r="D226"/>
      <c r="E226"/>
      <c r="F226"/>
      <c r="G226"/>
    </row>
    <row r="227" spans="4:7" x14ac:dyDescent="0.25">
      <c r="D227"/>
      <c r="E227"/>
      <c r="F227"/>
      <c r="G227"/>
    </row>
    <row r="228" spans="4:7" x14ac:dyDescent="0.25">
      <c r="D228"/>
      <c r="E228"/>
      <c r="F228"/>
      <c r="G228"/>
    </row>
    <row r="229" spans="4:7" x14ac:dyDescent="0.25">
      <c r="D229"/>
      <c r="E229"/>
      <c r="F229"/>
      <c r="G229"/>
    </row>
    <row r="230" spans="4:7" x14ac:dyDescent="0.25">
      <c r="D230"/>
      <c r="E230"/>
      <c r="F230"/>
      <c r="G230"/>
    </row>
    <row r="231" spans="4:7" x14ac:dyDescent="0.25">
      <c r="D231"/>
      <c r="E231"/>
      <c r="F231"/>
      <c r="G231"/>
    </row>
    <row r="232" spans="4:7" x14ac:dyDescent="0.25">
      <c r="D232"/>
      <c r="E232"/>
      <c r="F232"/>
      <c r="G232"/>
    </row>
    <row r="233" spans="4:7" x14ac:dyDescent="0.25">
      <c r="D233"/>
      <c r="E233"/>
      <c r="F233"/>
      <c r="G233"/>
    </row>
    <row r="234" spans="4:7" x14ac:dyDescent="0.25">
      <c r="D234"/>
      <c r="E234"/>
      <c r="F234"/>
      <c r="G234"/>
    </row>
    <row r="235" spans="4:7" x14ac:dyDescent="0.25">
      <c r="D235"/>
      <c r="E235"/>
      <c r="F235"/>
      <c r="G235"/>
    </row>
    <row r="236" spans="4:7" x14ac:dyDescent="0.25">
      <c r="D236"/>
      <c r="E236"/>
      <c r="F236"/>
      <c r="G236"/>
    </row>
    <row r="237" spans="4:7" x14ac:dyDescent="0.25">
      <c r="D237"/>
      <c r="E237"/>
      <c r="F237"/>
      <c r="G237"/>
    </row>
    <row r="238" spans="4:7" x14ac:dyDescent="0.25">
      <c r="D238"/>
      <c r="E238"/>
      <c r="F238"/>
      <c r="G238"/>
    </row>
    <row r="239" spans="4:7" x14ac:dyDescent="0.25">
      <c r="D239"/>
      <c r="E239"/>
      <c r="F239"/>
      <c r="G239"/>
    </row>
    <row r="240" spans="4:7" x14ac:dyDescent="0.25">
      <c r="D240"/>
      <c r="E240"/>
      <c r="F240"/>
      <c r="G240"/>
    </row>
    <row r="241" spans="4:7" x14ac:dyDescent="0.25">
      <c r="D241"/>
      <c r="E241"/>
      <c r="F241"/>
      <c r="G241"/>
    </row>
    <row r="242" spans="4:7" x14ac:dyDescent="0.25">
      <c r="D242"/>
      <c r="E242"/>
      <c r="F242"/>
      <c r="G242"/>
    </row>
    <row r="243" spans="4:7" x14ac:dyDescent="0.25">
      <c r="D243"/>
      <c r="E243"/>
      <c r="F243"/>
      <c r="G243"/>
    </row>
    <row r="244" spans="4:7" x14ac:dyDescent="0.25">
      <c r="D244"/>
      <c r="E244"/>
      <c r="F244"/>
      <c r="G244"/>
    </row>
    <row r="245" spans="4:7" x14ac:dyDescent="0.25">
      <c r="D245"/>
      <c r="E245"/>
      <c r="F245"/>
      <c r="G245"/>
    </row>
    <row r="246" spans="4:7" x14ac:dyDescent="0.25">
      <c r="D246"/>
      <c r="E246"/>
      <c r="F246"/>
      <c r="G246"/>
    </row>
    <row r="247" spans="4:7" x14ac:dyDescent="0.25">
      <c r="D247"/>
      <c r="E247"/>
      <c r="F247"/>
      <c r="G247"/>
    </row>
    <row r="248" spans="4:7" x14ac:dyDescent="0.25">
      <c r="D248"/>
      <c r="E248"/>
      <c r="F248"/>
      <c r="G248"/>
    </row>
    <row r="249" spans="4:7" x14ac:dyDescent="0.25">
      <c r="D249"/>
      <c r="E249"/>
      <c r="F249"/>
      <c r="G249"/>
    </row>
    <row r="250" spans="4:7" x14ac:dyDescent="0.25">
      <c r="D250"/>
      <c r="E250"/>
      <c r="F250"/>
      <c r="G250"/>
    </row>
    <row r="251" spans="4:7" x14ac:dyDescent="0.25">
      <c r="D251"/>
      <c r="E251"/>
      <c r="F251"/>
      <c r="G251"/>
    </row>
    <row r="252" spans="4:7" x14ac:dyDescent="0.25">
      <c r="D252"/>
      <c r="E252"/>
      <c r="F252"/>
      <c r="G252"/>
    </row>
    <row r="253" spans="4:7" x14ac:dyDescent="0.25">
      <c r="D253"/>
      <c r="E253"/>
      <c r="F253"/>
      <c r="G253"/>
    </row>
    <row r="254" spans="4:7" x14ac:dyDescent="0.25">
      <c r="D254"/>
      <c r="E254"/>
      <c r="F254"/>
      <c r="G254"/>
    </row>
    <row r="255" spans="4:7" x14ac:dyDescent="0.25">
      <c r="D255"/>
      <c r="E255"/>
      <c r="F255"/>
      <c r="G255"/>
    </row>
    <row r="256" spans="4:7" x14ac:dyDescent="0.25">
      <c r="D256"/>
      <c r="E256"/>
      <c r="F256"/>
      <c r="G256"/>
    </row>
    <row r="257" spans="4:7" x14ac:dyDescent="0.25">
      <c r="D257"/>
      <c r="E257"/>
      <c r="F257"/>
      <c r="G257"/>
    </row>
    <row r="258" spans="4:7" x14ac:dyDescent="0.25">
      <c r="D258"/>
      <c r="E258"/>
      <c r="F258"/>
      <c r="G258"/>
    </row>
    <row r="259" spans="4:7" x14ac:dyDescent="0.25">
      <c r="D259"/>
      <c r="E259"/>
      <c r="F259"/>
      <c r="G259"/>
    </row>
    <row r="260" spans="4:7" x14ac:dyDescent="0.25">
      <c r="D260"/>
      <c r="E260"/>
      <c r="F260"/>
      <c r="G260"/>
    </row>
    <row r="261" spans="4:7" x14ac:dyDescent="0.25">
      <c r="D261"/>
      <c r="E261"/>
      <c r="F261"/>
      <c r="G261"/>
    </row>
    <row r="262" spans="4:7" x14ac:dyDescent="0.25">
      <c r="D262"/>
      <c r="E262"/>
      <c r="F262"/>
      <c r="G262"/>
    </row>
    <row r="263" spans="4:7" x14ac:dyDescent="0.25">
      <c r="D263"/>
      <c r="E263"/>
      <c r="F263"/>
      <c r="G263"/>
    </row>
    <row r="264" spans="4:7" x14ac:dyDescent="0.25">
      <c r="D264"/>
      <c r="E264"/>
      <c r="F264"/>
      <c r="G264"/>
    </row>
    <row r="265" spans="4:7" x14ac:dyDescent="0.25">
      <c r="D265"/>
      <c r="E265"/>
      <c r="F265"/>
      <c r="G265"/>
    </row>
    <row r="266" spans="4:7" x14ac:dyDescent="0.25">
      <c r="D266"/>
      <c r="E266"/>
      <c r="F266"/>
      <c r="G266"/>
    </row>
    <row r="267" spans="4:7" x14ac:dyDescent="0.25">
      <c r="D267"/>
      <c r="E267"/>
      <c r="F267"/>
      <c r="G267"/>
    </row>
    <row r="268" spans="4:7" x14ac:dyDescent="0.25">
      <c r="D268"/>
      <c r="E268"/>
      <c r="F268"/>
      <c r="G268"/>
    </row>
    <row r="269" spans="4:7" x14ac:dyDescent="0.25">
      <c r="D269"/>
      <c r="E269"/>
      <c r="F269"/>
      <c r="G269"/>
    </row>
    <row r="270" spans="4:7" x14ac:dyDescent="0.25">
      <c r="D270"/>
      <c r="E270"/>
      <c r="F270"/>
      <c r="G270"/>
    </row>
    <row r="271" spans="4:7" x14ac:dyDescent="0.25">
      <c r="D271"/>
      <c r="E271"/>
      <c r="F271"/>
      <c r="G271"/>
    </row>
    <row r="272" spans="4:7" x14ac:dyDescent="0.25">
      <c r="D272"/>
      <c r="E272"/>
      <c r="F272"/>
      <c r="G272"/>
    </row>
    <row r="273" spans="4:7" x14ac:dyDescent="0.25">
      <c r="D273"/>
      <c r="E273"/>
      <c r="F273"/>
      <c r="G273"/>
    </row>
    <row r="274" spans="4:7" x14ac:dyDescent="0.25">
      <c r="D274"/>
      <c r="E274"/>
      <c r="F274"/>
      <c r="G274"/>
    </row>
    <row r="275" spans="4:7" x14ac:dyDescent="0.25">
      <c r="D275"/>
      <c r="E275"/>
      <c r="F275"/>
      <c r="G275"/>
    </row>
    <row r="276" spans="4:7" x14ac:dyDescent="0.25">
      <c r="D276"/>
      <c r="E276"/>
      <c r="F276"/>
      <c r="G276"/>
    </row>
    <row r="277" spans="4:7" x14ac:dyDescent="0.25">
      <c r="D277"/>
      <c r="E277"/>
      <c r="F277"/>
      <c r="G277"/>
    </row>
    <row r="278" spans="4:7" x14ac:dyDescent="0.25">
      <c r="D278"/>
      <c r="E278"/>
      <c r="F278"/>
      <c r="G278"/>
    </row>
    <row r="279" spans="4:7" x14ac:dyDescent="0.25">
      <c r="D279"/>
      <c r="E279"/>
      <c r="F279"/>
      <c r="G279"/>
    </row>
    <row r="280" spans="4:7" x14ac:dyDescent="0.25">
      <c r="D280"/>
      <c r="E280"/>
      <c r="F280"/>
      <c r="G280"/>
    </row>
    <row r="281" spans="4:7" x14ac:dyDescent="0.25">
      <c r="D281"/>
      <c r="E281"/>
      <c r="F281"/>
      <c r="G281"/>
    </row>
    <row r="282" spans="4:7" x14ac:dyDescent="0.25">
      <c r="D282"/>
      <c r="E282"/>
      <c r="F282"/>
      <c r="G282"/>
    </row>
    <row r="283" spans="4:7" x14ac:dyDescent="0.25">
      <c r="D283"/>
      <c r="E283"/>
      <c r="F283"/>
      <c r="G283"/>
    </row>
    <row r="284" spans="4:7" x14ac:dyDescent="0.25">
      <c r="D284"/>
      <c r="E284"/>
      <c r="F284"/>
      <c r="G284"/>
    </row>
    <row r="285" spans="4:7" x14ac:dyDescent="0.25">
      <c r="D285"/>
      <c r="E285"/>
      <c r="F285"/>
      <c r="G285"/>
    </row>
    <row r="286" spans="4:7" x14ac:dyDescent="0.25">
      <c r="D286"/>
      <c r="E286"/>
      <c r="F286"/>
      <c r="G286"/>
    </row>
    <row r="287" spans="4:7" x14ac:dyDescent="0.25">
      <c r="D287"/>
      <c r="E287"/>
      <c r="F287"/>
      <c r="G287"/>
    </row>
    <row r="288" spans="4:7" x14ac:dyDescent="0.25">
      <c r="D288"/>
      <c r="E288"/>
      <c r="F288"/>
      <c r="G288"/>
    </row>
    <row r="289" spans="4:7" x14ac:dyDescent="0.25">
      <c r="D289"/>
      <c r="E289"/>
      <c r="F289"/>
      <c r="G289"/>
    </row>
    <row r="290" spans="4:7" x14ac:dyDescent="0.25">
      <c r="D290"/>
      <c r="E290"/>
      <c r="F290"/>
      <c r="G290"/>
    </row>
    <row r="291" spans="4:7" x14ac:dyDescent="0.25">
      <c r="D291"/>
      <c r="E291"/>
      <c r="F291"/>
      <c r="G291"/>
    </row>
    <row r="292" spans="4:7" x14ac:dyDescent="0.25">
      <c r="D292"/>
      <c r="E292"/>
      <c r="F292"/>
      <c r="G292"/>
    </row>
    <row r="293" spans="4:7" x14ac:dyDescent="0.25">
      <c r="D293"/>
      <c r="E293"/>
      <c r="F293"/>
      <c r="G293"/>
    </row>
    <row r="294" spans="4:7" x14ac:dyDescent="0.25">
      <c r="D294"/>
      <c r="E294"/>
      <c r="F294"/>
      <c r="G294"/>
    </row>
    <row r="295" spans="4:7" x14ac:dyDescent="0.25">
      <c r="D295"/>
      <c r="E295"/>
      <c r="F295"/>
      <c r="G295"/>
    </row>
    <row r="296" spans="4:7" x14ac:dyDescent="0.25">
      <c r="D296"/>
      <c r="E296"/>
      <c r="F296"/>
      <c r="G296"/>
    </row>
    <row r="297" spans="4:7" x14ac:dyDescent="0.25">
      <c r="D297"/>
      <c r="E297"/>
      <c r="F297"/>
      <c r="G297"/>
    </row>
    <row r="298" spans="4:7" x14ac:dyDescent="0.25">
      <c r="D298"/>
      <c r="E298"/>
      <c r="F298"/>
      <c r="G298"/>
    </row>
    <row r="299" spans="4:7" x14ac:dyDescent="0.25">
      <c r="D299"/>
      <c r="E299"/>
      <c r="F299"/>
      <c r="G299"/>
    </row>
    <row r="300" spans="4:7" x14ac:dyDescent="0.25">
      <c r="D300"/>
      <c r="E300"/>
      <c r="F300"/>
      <c r="G300"/>
    </row>
    <row r="301" spans="4:7" x14ac:dyDescent="0.25">
      <c r="D301"/>
      <c r="E301"/>
      <c r="F301"/>
      <c r="G301"/>
    </row>
    <row r="302" spans="4:7" x14ac:dyDescent="0.25">
      <c r="D302"/>
      <c r="E302"/>
      <c r="F302"/>
      <c r="G302"/>
    </row>
    <row r="303" spans="4:7" x14ac:dyDescent="0.25">
      <c r="D303"/>
      <c r="E303"/>
      <c r="F303"/>
      <c r="G303"/>
    </row>
    <row r="304" spans="4:7" x14ac:dyDescent="0.25">
      <c r="D304"/>
      <c r="E304"/>
      <c r="F304"/>
      <c r="G304"/>
    </row>
    <row r="305" spans="4:7" x14ac:dyDescent="0.25">
      <c r="D305"/>
      <c r="E305"/>
      <c r="F305"/>
      <c r="G305"/>
    </row>
    <row r="306" spans="4:7" x14ac:dyDescent="0.25">
      <c r="D306"/>
      <c r="E306"/>
      <c r="F306"/>
      <c r="G306"/>
    </row>
    <row r="307" spans="4:7" x14ac:dyDescent="0.25">
      <c r="D307"/>
      <c r="E307"/>
      <c r="F307"/>
      <c r="G307"/>
    </row>
    <row r="308" spans="4:7" x14ac:dyDescent="0.25">
      <c r="D308"/>
      <c r="E308"/>
      <c r="F308"/>
      <c r="G308"/>
    </row>
    <row r="309" spans="4:7" x14ac:dyDescent="0.25">
      <c r="D309"/>
      <c r="E309"/>
      <c r="F309"/>
      <c r="G309"/>
    </row>
    <row r="310" spans="4:7" x14ac:dyDescent="0.25">
      <c r="D310"/>
      <c r="E310"/>
      <c r="F310"/>
      <c r="G310"/>
    </row>
    <row r="311" spans="4:7" x14ac:dyDescent="0.25">
      <c r="D311"/>
      <c r="E311"/>
      <c r="F311"/>
      <c r="G311"/>
    </row>
    <row r="312" spans="4:7" x14ac:dyDescent="0.25">
      <c r="D312"/>
      <c r="E312"/>
      <c r="F312"/>
      <c r="G312"/>
    </row>
    <row r="313" spans="4:7" x14ac:dyDescent="0.25">
      <c r="D313"/>
      <c r="E313"/>
      <c r="F313"/>
      <c r="G313"/>
    </row>
    <row r="314" spans="4:7" x14ac:dyDescent="0.25">
      <c r="D314"/>
      <c r="E314"/>
      <c r="F314"/>
      <c r="G314"/>
    </row>
    <row r="315" spans="4:7" x14ac:dyDescent="0.25">
      <c r="D315"/>
      <c r="E315"/>
      <c r="F315"/>
      <c r="G315"/>
    </row>
    <row r="316" spans="4:7" x14ac:dyDescent="0.25">
      <c r="D316"/>
      <c r="E316"/>
      <c r="F316"/>
      <c r="G316"/>
    </row>
    <row r="317" spans="4:7" x14ac:dyDescent="0.25">
      <c r="D317"/>
      <c r="E317"/>
      <c r="F317"/>
      <c r="G317"/>
    </row>
    <row r="318" spans="4:7" x14ac:dyDescent="0.25">
      <c r="D318"/>
      <c r="E318"/>
      <c r="F318"/>
      <c r="G318"/>
    </row>
    <row r="319" spans="4:7" x14ac:dyDescent="0.25">
      <c r="D319"/>
      <c r="E319"/>
      <c r="F319"/>
      <c r="G319"/>
    </row>
    <row r="320" spans="4:7" x14ac:dyDescent="0.25">
      <c r="D320"/>
      <c r="E320"/>
      <c r="F320"/>
      <c r="G320"/>
    </row>
    <row r="321" spans="4:7" x14ac:dyDescent="0.25">
      <c r="D321"/>
      <c r="E321"/>
      <c r="F321"/>
      <c r="G321"/>
    </row>
    <row r="322" spans="4:7" x14ac:dyDescent="0.25">
      <c r="D322"/>
      <c r="E322"/>
      <c r="F322"/>
      <c r="G322"/>
    </row>
    <row r="323" spans="4:7" x14ac:dyDescent="0.25">
      <c r="D323"/>
      <c r="E323"/>
      <c r="F323"/>
      <c r="G323"/>
    </row>
    <row r="324" spans="4:7" x14ac:dyDescent="0.25">
      <c r="D324"/>
      <c r="E324"/>
      <c r="F324"/>
      <c r="G324"/>
    </row>
    <row r="325" spans="4:7" x14ac:dyDescent="0.25">
      <c r="D325"/>
      <c r="E325"/>
      <c r="F325"/>
      <c r="G325"/>
    </row>
    <row r="326" spans="4:7" x14ac:dyDescent="0.25">
      <c r="D326"/>
      <c r="E326"/>
      <c r="F326"/>
      <c r="G326"/>
    </row>
    <row r="327" spans="4:7" x14ac:dyDescent="0.25">
      <c r="D327"/>
      <c r="E327"/>
      <c r="F327"/>
      <c r="G327"/>
    </row>
    <row r="328" spans="4:7" x14ac:dyDescent="0.25">
      <c r="D328"/>
      <c r="E328"/>
      <c r="F328"/>
      <c r="G328"/>
    </row>
    <row r="329" spans="4:7" x14ac:dyDescent="0.25">
      <c r="D329"/>
      <c r="E329"/>
      <c r="F329"/>
      <c r="G329"/>
    </row>
    <row r="330" spans="4:7" x14ac:dyDescent="0.25">
      <c r="D330"/>
      <c r="E330"/>
      <c r="F330"/>
      <c r="G330"/>
    </row>
    <row r="331" spans="4:7" x14ac:dyDescent="0.25">
      <c r="D331"/>
      <c r="E331"/>
      <c r="F331"/>
      <c r="G331"/>
    </row>
    <row r="332" spans="4:7" x14ac:dyDescent="0.25">
      <c r="D332"/>
      <c r="E332"/>
      <c r="F332"/>
      <c r="G332"/>
    </row>
    <row r="333" spans="4:7" x14ac:dyDescent="0.25">
      <c r="D333"/>
      <c r="E333"/>
      <c r="F333"/>
      <c r="G333"/>
    </row>
    <row r="334" spans="4:7" x14ac:dyDescent="0.25">
      <c r="D334"/>
      <c r="E334"/>
      <c r="F334"/>
      <c r="G334"/>
    </row>
    <row r="335" spans="4:7" x14ac:dyDescent="0.25">
      <c r="D335"/>
      <c r="E335"/>
      <c r="F335"/>
      <c r="G335"/>
    </row>
    <row r="336" spans="4:7" x14ac:dyDescent="0.25">
      <c r="D336"/>
      <c r="E336"/>
      <c r="F336"/>
      <c r="G336"/>
    </row>
    <row r="337" spans="4:7" x14ac:dyDescent="0.25">
      <c r="D337"/>
      <c r="E337"/>
      <c r="F337"/>
      <c r="G337"/>
    </row>
    <row r="338" spans="4:7" x14ac:dyDescent="0.25">
      <c r="D338"/>
      <c r="E338"/>
      <c r="F338"/>
      <c r="G338"/>
    </row>
    <row r="339" spans="4:7" x14ac:dyDescent="0.25">
      <c r="D339"/>
      <c r="E339"/>
      <c r="F339"/>
      <c r="G339"/>
    </row>
    <row r="340" spans="4:7" x14ac:dyDescent="0.25">
      <c r="D340"/>
      <c r="E340"/>
      <c r="F340"/>
      <c r="G340"/>
    </row>
    <row r="341" spans="4:7" x14ac:dyDescent="0.25">
      <c r="D341"/>
      <c r="E341"/>
      <c r="F341"/>
      <c r="G341"/>
    </row>
    <row r="342" spans="4:7" x14ac:dyDescent="0.25">
      <c r="D342"/>
      <c r="E342"/>
      <c r="F342"/>
      <c r="G342"/>
    </row>
    <row r="343" spans="4:7" x14ac:dyDescent="0.25">
      <c r="D343"/>
      <c r="E343"/>
      <c r="F343"/>
      <c r="G343"/>
    </row>
    <row r="344" spans="4:7" x14ac:dyDescent="0.25">
      <c r="D344"/>
      <c r="E344"/>
      <c r="F344"/>
      <c r="G344"/>
    </row>
    <row r="345" spans="4:7" x14ac:dyDescent="0.25">
      <c r="D345"/>
      <c r="E345"/>
      <c r="F345"/>
      <c r="G345"/>
    </row>
    <row r="346" spans="4:7" x14ac:dyDescent="0.25">
      <c r="D346"/>
      <c r="E346"/>
      <c r="F346"/>
      <c r="G346"/>
    </row>
    <row r="347" spans="4:7" x14ac:dyDescent="0.25">
      <c r="D347"/>
      <c r="E347"/>
      <c r="F347"/>
      <c r="G347"/>
    </row>
    <row r="348" spans="4:7" x14ac:dyDescent="0.25">
      <c r="D348"/>
      <c r="E348"/>
      <c r="F348"/>
      <c r="G348"/>
    </row>
    <row r="349" spans="4:7" x14ac:dyDescent="0.25">
      <c r="D349"/>
      <c r="E349"/>
      <c r="F349"/>
      <c r="G349"/>
    </row>
    <row r="350" spans="4:7" x14ac:dyDescent="0.25">
      <c r="D350"/>
      <c r="E350"/>
      <c r="F350"/>
      <c r="G350"/>
    </row>
    <row r="351" spans="4:7" x14ac:dyDescent="0.25">
      <c r="D351"/>
      <c r="E351"/>
      <c r="F351"/>
      <c r="G351"/>
    </row>
    <row r="352" spans="4:7" x14ac:dyDescent="0.25">
      <c r="D352"/>
      <c r="E352"/>
      <c r="F352"/>
      <c r="G352"/>
    </row>
    <row r="353" spans="4:7" x14ac:dyDescent="0.25">
      <c r="D353"/>
      <c r="E353"/>
      <c r="F353"/>
      <c r="G353"/>
    </row>
    <row r="354" spans="4:7" x14ac:dyDescent="0.25">
      <c r="D354"/>
      <c r="E354"/>
      <c r="F354"/>
      <c r="G354"/>
    </row>
    <row r="355" spans="4:7" x14ac:dyDescent="0.25">
      <c r="D355"/>
      <c r="E355"/>
      <c r="F355"/>
      <c r="G355"/>
    </row>
    <row r="356" spans="4:7" x14ac:dyDescent="0.25">
      <c r="D356"/>
      <c r="E356"/>
      <c r="F356"/>
      <c r="G356"/>
    </row>
    <row r="357" spans="4:7" x14ac:dyDescent="0.25">
      <c r="D357"/>
      <c r="E357"/>
      <c r="F357"/>
      <c r="G357"/>
    </row>
    <row r="358" spans="4:7" x14ac:dyDescent="0.25">
      <c r="D358"/>
      <c r="E358"/>
      <c r="F358"/>
      <c r="G358"/>
    </row>
    <row r="359" spans="4:7" x14ac:dyDescent="0.25">
      <c r="D359"/>
      <c r="E359"/>
      <c r="F359"/>
      <c r="G359"/>
    </row>
    <row r="360" spans="4:7" x14ac:dyDescent="0.25">
      <c r="D360"/>
      <c r="E360"/>
      <c r="F360"/>
      <c r="G360"/>
    </row>
    <row r="361" spans="4:7" x14ac:dyDescent="0.25">
      <c r="D361"/>
      <c r="E361"/>
      <c r="F361"/>
      <c r="G361"/>
    </row>
    <row r="362" spans="4:7" x14ac:dyDescent="0.25">
      <c r="D362"/>
      <c r="E362"/>
      <c r="F362"/>
      <c r="G362"/>
    </row>
    <row r="363" spans="4:7" x14ac:dyDescent="0.25">
      <c r="D363"/>
      <c r="E363"/>
      <c r="F363"/>
      <c r="G363"/>
    </row>
    <row r="364" spans="4:7" x14ac:dyDescent="0.25">
      <c r="D364"/>
      <c r="E364"/>
      <c r="F364"/>
      <c r="G364"/>
    </row>
    <row r="365" spans="4:7" x14ac:dyDescent="0.25">
      <c r="D365"/>
      <c r="E365"/>
      <c r="F365"/>
      <c r="G365"/>
    </row>
    <row r="366" spans="4:7" x14ac:dyDescent="0.25">
      <c r="D366"/>
      <c r="E366"/>
      <c r="F366"/>
      <c r="G366"/>
    </row>
    <row r="367" spans="4:7" x14ac:dyDescent="0.25">
      <c r="D367"/>
      <c r="E367"/>
      <c r="F367"/>
      <c r="G367"/>
    </row>
    <row r="368" spans="4:7" x14ac:dyDescent="0.25">
      <c r="D368"/>
      <c r="E368"/>
      <c r="F368"/>
      <c r="G368"/>
    </row>
    <row r="369" spans="4:7" x14ac:dyDescent="0.25">
      <c r="D369"/>
      <c r="E369"/>
      <c r="F369"/>
      <c r="G369"/>
    </row>
    <row r="370" spans="4:7" x14ac:dyDescent="0.25">
      <c r="D370"/>
      <c r="E370"/>
      <c r="F370"/>
      <c r="G370"/>
    </row>
    <row r="371" spans="4:7" x14ac:dyDescent="0.25">
      <c r="D371"/>
      <c r="E371"/>
      <c r="F371"/>
      <c r="G371"/>
    </row>
    <row r="372" spans="4:7" x14ac:dyDescent="0.25">
      <c r="D372"/>
      <c r="E372"/>
      <c r="F372"/>
      <c r="G372"/>
    </row>
    <row r="373" spans="4:7" x14ac:dyDescent="0.25">
      <c r="D373"/>
      <c r="E373"/>
      <c r="F373"/>
      <c r="G373"/>
    </row>
    <row r="374" spans="4:7" x14ac:dyDescent="0.25">
      <c r="D374"/>
      <c r="E374"/>
      <c r="F374"/>
      <c r="G374"/>
    </row>
    <row r="375" spans="4:7" x14ac:dyDescent="0.25">
      <c r="D375"/>
      <c r="E375"/>
      <c r="F375"/>
      <c r="G375"/>
    </row>
    <row r="376" spans="4:7" x14ac:dyDescent="0.25">
      <c r="D376"/>
      <c r="E376"/>
      <c r="F376"/>
      <c r="G376"/>
    </row>
    <row r="377" spans="4:7" x14ac:dyDescent="0.25">
      <c r="D377"/>
      <c r="E377"/>
      <c r="F377"/>
      <c r="G377"/>
    </row>
    <row r="378" spans="4:7" x14ac:dyDescent="0.25">
      <c r="D378"/>
      <c r="E378"/>
      <c r="F378"/>
      <c r="G378"/>
    </row>
    <row r="379" spans="4:7" x14ac:dyDescent="0.25">
      <c r="D379"/>
      <c r="E379"/>
      <c r="F379"/>
      <c r="G379"/>
    </row>
    <row r="380" spans="4:7" x14ac:dyDescent="0.25">
      <c r="D380"/>
      <c r="E380"/>
      <c r="F380"/>
      <c r="G380"/>
    </row>
    <row r="381" spans="4:7" x14ac:dyDescent="0.25">
      <c r="D381"/>
      <c r="E381"/>
      <c r="F381"/>
      <c r="G381"/>
    </row>
    <row r="382" spans="4:7" x14ac:dyDescent="0.25">
      <c r="D382"/>
      <c r="E382"/>
      <c r="F382"/>
      <c r="G382"/>
    </row>
    <row r="383" spans="4:7" x14ac:dyDescent="0.25">
      <c r="D383"/>
      <c r="E383"/>
      <c r="F383"/>
      <c r="G383"/>
    </row>
    <row r="384" spans="4:7" x14ac:dyDescent="0.25">
      <c r="D384"/>
      <c r="E384"/>
      <c r="F384"/>
      <c r="G384"/>
    </row>
    <row r="385" spans="4:7" x14ac:dyDescent="0.25">
      <c r="D385"/>
      <c r="E385"/>
      <c r="F385"/>
      <c r="G385"/>
    </row>
    <row r="386" spans="4:7" x14ac:dyDescent="0.25">
      <c r="D386"/>
      <c r="E386"/>
      <c r="F386"/>
      <c r="G386"/>
    </row>
    <row r="387" spans="4:7" x14ac:dyDescent="0.25">
      <c r="D387"/>
      <c r="E387"/>
      <c r="F387"/>
      <c r="G387"/>
    </row>
    <row r="388" spans="4:7" x14ac:dyDescent="0.25">
      <c r="D388"/>
      <c r="E388"/>
      <c r="F388"/>
      <c r="G388"/>
    </row>
    <row r="389" spans="4:7" x14ac:dyDescent="0.25">
      <c r="D389"/>
      <c r="E389"/>
      <c r="F389"/>
      <c r="G389"/>
    </row>
    <row r="390" spans="4:7" x14ac:dyDescent="0.25">
      <c r="D390"/>
      <c r="E390"/>
      <c r="F390"/>
      <c r="G390"/>
    </row>
    <row r="391" spans="4:7" x14ac:dyDescent="0.25">
      <c r="D391"/>
      <c r="E391"/>
      <c r="F391"/>
      <c r="G391"/>
    </row>
    <row r="392" spans="4:7" x14ac:dyDescent="0.25">
      <c r="D392"/>
      <c r="E392"/>
      <c r="F392"/>
      <c r="G392"/>
    </row>
    <row r="393" spans="4:7" x14ac:dyDescent="0.25">
      <c r="D393"/>
      <c r="E393"/>
      <c r="F393"/>
      <c r="G393"/>
    </row>
    <row r="394" spans="4:7" x14ac:dyDescent="0.25">
      <c r="D394"/>
      <c r="E394"/>
      <c r="F394"/>
      <c r="G394"/>
    </row>
    <row r="395" spans="4:7" x14ac:dyDescent="0.25">
      <c r="D395"/>
      <c r="E395"/>
      <c r="F395"/>
      <c r="G395"/>
    </row>
    <row r="396" spans="4:7" x14ac:dyDescent="0.25">
      <c r="D396"/>
      <c r="E396"/>
      <c r="F396"/>
      <c r="G396"/>
    </row>
    <row r="397" spans="4:7" x14ac:dyDescent="0.25">
      <c r="D397"/>
      <c r="E397"/>
      <c r="F397"/>
      <c r="G397"/>
    </row>
    <row r="398" spans="4:7" x14ac:dyDescent="0.25">
      <c r="D398"/>
      <c r="E398"/>
      <c r="F398"/>
      <c r="G398"/>
    </row>
    <row r="399" spans="4:7" x14ac:dyDescent="0.25">
      <c r="D399"/>
      <c r="E399"/>
      <c r="F399"/>
      <c r="G399"/>
    </row>
    <row r="400" spans="4:7" x14ac:dyDescent="0.25">
      <c r="D400"/>
      <c r="E400"/>
      <c r="F400"/>
      <c r="G400"/>
    </row>
    <row r="401" spans="4:7" x14ac:dyDescent="0.25">
      <c r="D401"/>
      <c r="E401"/>
      <c r="F401"/>
      <c r="G401"/>
    </row>
    <row r="402" spans="4:7" x14ac:dyDescent="0.25">
      <c r="D402"/>
      <c r="E402"/>
      <c r="F402"/>
      <c r="G402"/>
    </row>
    <row r="403" spans="4:7" x14ac:dyDescent="0.25">
      <c r="D403"/>
      <c r="E403"/>
      <c r="F403"/>
      <c r="G403"/>
    </row>
    <row r="404" spans="4:7" x14ac:dyDescent="0.25">
      <c r="D404"/>
      <c r="E404"/>
      <c r="F404"/>
      <c r="G404"/>
    </row>
    <row r="405" spans="4:7" x14ac:dyDescent="0.25">
      <c r="D405"/>
      <c r="E405"/>
      <c r="F405"/>
      <c r="G405"/>
    </row>
    <row r="406" spans="4:7" x14ac:dyDescent="0.25">
      <c r="D406"/>
      <c r="E406"/>
      <c r="F406"/>
      <c r="G406"/>
    </row>
    <row r="407" spans="4:7" x14ac:dyDescent="0.25">
      <c r="D407"/>
      <c r="E407"/>
      <c r="F407"/>
      <c r="G407"/>
    </row>
    <row r="408" spans="4:7" x14ac:dyDescent="0.25">
      <c r="D408"/>
      <c r="E408"/>
      <c r="F408"/>
      <c r="G408"/>
    </row>
    <row r="409" spans="4:7" x14ac:dyDescent="0.25">
      <c r="D409"/>
      <c r="E409"/>
      <c r="F409"/>
      <c r="G409"/>
    </row>
    <row r="410" spans="4:7" x14ac:dyDescent="0.25">
      <c r="D410"/>
      <c r="E410"/>
      <c r="F410"/>
      <c r="G410"/>
    </row>
    <row r="411" spans="4:7" x14ac:dyDescent="0.25">
      <c r="D411"/>
      <c r="E411"/>
      <c r="F411"/>
      <c r="G411"/>
    </row>
    <row r="412" spans="4:7" x14ac:dyDescent="0.25">
      <c r="D412"/>
      <c r="E412"/>
      <c r="F412"/>
      <c r="G412"/>
    </row>
    <row r="413" spans="4:7" x14ac:dyDescent="0.25">
      <c r="D413"/>
      <c r="E413"/>
      <c r="F413"/>
      <c r="G413"/>
    </row>
    <row r="414" spans="4:7" x14ac:dyDescent="0.25">
      <c r="D414"/>
      <c r="E414"/>
      <c r="F414"/>
      <c r="G414"/>
    </row>
    <row r="415" spans="4:7" x14ac:dyDescent="0.25">
      <c r="D415"/>
      <c r="E415"/>
      <c r="F415"/>
      <c r="G415"/>
    </row>
    <row r="416" spans="4:7" x14ac:dyDescent="0.25">
      <c r="D416"/>
      <c r="E416"/>
      <c r="F416"/>
      <c r="G416"/>
    </row>
    <row r="417" spans="4:7" x14ac:dyDescent="0.25">
      <c r="D417"/>
      <c r="E417"/>
      <c r="F417"/>
      <c r="G417"/>
    </row>
    <row r="418" spans="4:7" x14ac:dyDescent="0.25">
      <c r="D418"/>
      <c r="E418"/>
      <c r="F418"/>
      <c r="G418"/>
    </row>
    <row r="419" spans="4:7" x14ac:dyDescent="0.25">
      <c r="D419"/>
      <c r="E419"/>
      <c r="F419"/>
      <c r="G419"/>
    </row>
    <row r="420" spans="4:7" x14ac:dyDescent="0.25">
      <c r="D420"/>
      <c r="E420"/>
      <c r="F420"/>
      <c r="G420"/>
    </row>
    <row r="421" spans="4:7" x14ac:dyDescent="0.25">
      <c r="D421"/>
      <c r="E421"/>
      <c r="F421"/>
      <c r="G421"/>
    </row>
    <row r="422" spans="4:7" x14ac:dyDescent="0.25">
      <c r="D422"/>
      <c r="E422"/>
      <c r="F422"/>
      <c r="G422"/>
    </row>
    <row r="423" spans="4:7" x14ac:dyDescent="0.25">
      <c r="D423"/>
      <c r="E423"/>
      <c r="F423"/>
      <c r="G423"/>
    </row>
    <row r="424" spans="4:7" x14ac:dyDescent="0.25">
      <c r="D424"/>
      <c r="E424"/>
      <c r="F424"/>
      <c r="G424"/>
    </row>
    <row r="425" spans="4:7" x14ac:dyDescent="0.25">
      <c r="D425"/>
      <c r="E425"/>
      <c r="F425"/>
      <c r="G425"/>
    </row>
    <row r="426" spans="4:7" x14ac:dyDescent="0.25">
      <c r="D426"/>
      <c r="E426"/>
      <c r="F426"/>
      <c r="G426"/>
    </row>
    <row r="427" spans="4:7" x14ac:dyDescent="0.25">
      <c r="D427"/>
      <c r="E427"/>
      <c r="F427"/>
      <c r="G427"/>
    </row>
    <row r="428" spans="4:7" x14ac:dyDescent="0.25">
      <c r="D428"/>
      <c r="E428"/>
      <c r="F428"/>
      <c r="G428"/>
    </row>
    <row r="429" spans="4:7" x14ac:dyDescent="0.25">
      <c r="D429"/>
      <c r="E429"/>
      <c r="F429"/>
      <c r="G429"/>
    </row>
    <row r="430" spans="4:7" x14ac:dyDescent="0.25">
      <c r="D430"/>
      <c r="E430"/>
      <c r="F430"/>
      <c r="G430"/>
    </row>
    <row r="431" spans="4:7" x14ac:dyDescent="0.25">
      <c r="D431"/>
      <c r="E431"/>
      <c r="F431"/>
      <c r="G431"/>
    </row>
    <row r="432" spans="4:7" x14ac:dyDescent="0.25">
      <c r="D432"/>
      <c r="E432"/>
      <c r="F432"/>
      <c r="G432"/>
    </row>
    <row r="433" spans="4:7" x14ac:dyDescent="0.25">
      <c r="D433"/>
      <c r="E433"/>
      <c r="F433"/>
      <c r="G433"/>
    </row>
    <row r="434" spans="4:7" x14ac:dyDescent="0.25">
      <c r="D434"/>
      <c r="E434"/>
      <c r="F434"/>
      <c r="G434"/>
    </row>
    <row r="435" spans="4:7" x14ac:dyDescent="0.25">
      <c r="D435"/>
      <c r="E435"/>
      <c r="F435"/>
      <c r="G435"/>
    </row>
    <row r="436" spans="4:7" x14ac:dyDescent="0.25">
      <c r="D436"/>
      <c r="E436"/>
      <c r="F436"/>
      <c r="G436"/>
    </row>
    <row r="437" spans="4:7" x14ac:dyDescent="0.25">
      <c r="D437"/>
      <c r="E437"/>
      <c r="F437"/>
      <c r="G437"/>
    </row>
    <row r="438" spans="4:7" x14ac:dyDescent="0.25">
      <c r="D438"/>
      <c r="E438"/>
      <c r="F438"/>
      <c r="G438"/>
    </row>
    <row r="439" spans="4:7" x14ac:dyDescent="0.25">
      <c r="D439"/>
      <c r="E439"/>
      <c r="F439"/>
      <c r="G439"/>
    </row>
    <row r="440" spans="4:7" x14ac:dyDescent="0.25">
      <c r="D440"/>
      <c r="E440"/>
      <c r="F440"/>
      <c r="G440"/>
    </row>
    <row r="441" spans="4:7" x14ac:dyDescent="0.25">
      <c r="D441"/>
      <c r="E441"/>
      <c r="F441"/>
      <c r="G441"/>
    </row>
    <row r="442" spans="4:7" x14ac:dyDescent="0.25">
      <c r="D442"/>
      <c r="E442"/>
      <c r="F442"/>
      <c r="G442"/>
    </row>
    <row r="443" spans="4:7" x14ac:dyDescent="0.25">
      <c r="D443"/>
      <c r="E443"/>
      <c r="F443"/>
      <c r="G443"/>
    </row>
    <row r="444" spans="4:7" x14ac:dyDescent="0.25">
      <c r="D444"/>
      <c r="E444"/>
      <c r="F444"/>
      <c r="G444"/>
    </row>
    <row r="445" spans="4:7" x14ac:dyDescent="0.25">
      <c r="D445"/>
      <c r="E445"/>
      <c r="F445"/>
      <c r="G445"/>
    </row>
    <row r="446" spans="4:7" x14ac:dyDescent="0.25">
      <c r="D446"/>
      <c r="E446"/>
      <c r="F446"/>
      <c r="G446"/>
    </row>
    <row r="447" spans="4:7" x14ac:dyDescent="0.25">
      <c r="D447"/>
      <c r="E447"/>
      <c r="F447"/>
      <c r="G447"/>
    </row>
    <row r="448" spans="4:7" x14ac:dyDescent="0.25">
      <c r="D448"/>
      <c r="E448"/>
      <c r="F448"/>
      <c r="G448"/>
    </row>
    <row r="449" spans="4:7" x14ac:dyDescent="0.25">
      <c r="D449"/>
      <c r="E449"/>
      <c r="F449"/>
      <c r="G449"/>
    </row>
    <row r="450" spans="4:7" x14ac:dyDescent="0.25">
      <c r="D450"/>
      <c r="E450"/>
      <c r="F450"/>
      <c r="G450"/>
    </row>
    <row r="451" spans="4:7" x14ac:dyDescent="0.25">
      <c r="D451"/>
      <c r="E451"/>
      <c r="F451"/>
      <c r="G451"/>
    </row>
    <row r="452" spans="4:7" x14ac:dyDescent="0.25">
      <c r="D452"/>
      <c r="E452"/>
      <c r="F452"/>
      <c r="G452"/>
    </row>
    <row r="453" spans="4:7" x14ac:dyDescent="0.25">
      <c r="D453"/>
      <c r="E453"/>
      <c r="F453"/>
      <c r="G453"/>
    </row>
    <row r="454" spans="4:7" x14ac:dyDescent="0.25">
      <c r="D454"/>
      <c r="E454"/>
      <c r="F454"/>
      <c r="G454"/>
    </row>
    <row r="455" spans="4:7" x14ac:dyDescent="0.25">
      <c r="D455"/>
      <c r="E455"/>
      <c r="F455"/>
      <c r="G455"/>
    </row>
    <row r="456" spans="4:7" x14ac:dyDescent="0.25">
      <c r="D456"/>
      <c r="E456"/>
      <c r="F456"/>
      <c r="G456"/>
    </row>
    <row r="457" spans="4:7" x14ac:dyDescent="0.25">
      <c r="D457"/>
      <c r="E457"/>
      <c r="F457"/>
      <c r="G457"/>
    </row>
    <row r="458" spans="4:7" x14ac:dyDescent="0.25">
      <c r="D458"/>
      <c r="E458"/>
      <c r="F458"/>
      <c r="G458"/>
    </row>
    <row r="459" spans="4:7" x14ac:dyDescent="0.25">
      <c r="D459"/>
      <c r="E459"/>
      <c r="F459"/>
      <c r="G459"/>
    </row>
    <row r="460" spans="4:7" x14ac:dyDescent="0.25">
      <c r="D460"/>
      <c r="E460"/>
      <c r="F460"/>
      <c r="G460"/>
    </row>
    <row r="461" spans="4:7" x14ac:dyDescent="0.25">
      <c r="D461"/>
      <c r="E461"/>
      <c r="F461"/>
      <c r="G461"/>
    </row>
    <row r="462" spans="4:7" x14ac:dyDescent="0.25">
      <c r="D462"/>
      <c r="E462"/>
      <c r="F462"/>
      <c r="G462"/>
    </row>
    <row r="463" spans="4:7" x14ac:dyDescent="0.25">
      <c r="D463"/>
      <c r="E463"/>
      <c r="F463"/>
      <c r="G463"/>
    </row>
    <row r="464" spans="4:7" x14ac:dyDescent="0.25">
      <c r="D464"/>
      <c r="E464"/>
      <c r="F464"/>
      <c r="G464"/>
    </row>
    <row r="465" spans="4:7" x14ac:dyDescent="0.25">
      <c r="D465"/>
      <c r="E465"/>
      <c r="F465"/>
      <c r="G465"/>
    </row>
    <row r="466" spans="4:7" x14ac:dyDescent="0.25">
      <c r="D466"/>
      <c r="E466"/>
      <c r="F466"/>
      <c r="G466"/>
    </row>
    <row r="467" spans="4:7" x14ac:dyDescent="0.25">
      <c r="D467"/>
      <c r="E467"/>
      <c r="F467"/>
      <c r="G467"/>
    </row>
    <row r="468" spans="4:7" x14ac:dyDescent="0.25">
      <c r="D468"/>
      <c r="E468"/>
      <c r="F468"/>
      <c r="G468"/>
    </row>
    <row r="469" spans="4:7" x14ac:dyDescent="0.25">
      <c r="D469"/>
      <c r="E469"/>
      <c r="F469"/>
      <c r="G469"/>
    </row>
    <row r="470" spans="4:7" x14ac:dyDescent="0.25">
      <c r="D470"/>
      <c r="E470"/>
      <c r="F470"/>
      <c r="G470"/>
    </row>
    <row r="471" spans="4:7" x14ac:dyDescent="0.25">
      <c r="D471"/>
      <c r="E471"/>
      <c r="F471"/>
      <c r="G471"/>
    </row>
    <row r="472" spans="4:7" x14ac:dyDescent="0.25">
      <c r="D472"/>
      <c r="E472"/>
      <c r="F472"/>
      <c r="G472"/>
    </row>
    <row r="473" spans="4:7" x14ac:dyDescent="0.25">
      <c r="D473"/>
      <c r="E473"/>
      <c r="F473"/>
      <c r="G473"/>
    </row>
    <row r="474" spans="4:7" x14ac:dyDescent="0.25">
      <c r="D474"/>
      <c r="E474"/>
      <c r="F474"/>
      <c r="G474"/>
    </row>
    <row r="475" spans="4:7" x14ac:dyDescent="0.25">
      <c r="D475"/>
      <c r="E475"/>
      <c r="F475"/>
      <c r="G475"/>
    </row>
    <row r="476" spans="4:7" x14ac:dyDescent="0.25">
      <c r="D476"/>
      <c r="E476"/>
      <c r="F476"/>
      <c r="G476"/>
    </row>
    <row r="477" spans="4:7" x14ac:dyDescent="0.25">
      <c r="D477"/>
      <c r="E477"/>
      <c r="F477"/>
      <c r="G477"/>
    </row>
    <row r="478" spans="4:7" x14ac:dyDescent="0.25">
      <c r="D478"/>
      <c r="E478"/>
      <c r="F478"/>
      <c r="G478"/>
    </row>
    <row r="479" spans="4:7" x14ac:dyDescent="0.25">
      <c r="D479"/>
      <c r="E479"/>
      <c r="F479"/>
      <c r="G479"/>
    </row>
    <row r="480" spans="4:7" x14ac:dyDescent="0.25">
      <c r="D480"/>
      <c r="E480"/>
      <c r="F480"/>
      <c r="G480"/>
    </row>
    <row r="481" spans="4:7" x14ac:dyDescent="0.25">
      <c r="D481"/>
      <c r="E481"/>
      <c r="F481"/>
      <c r="G481"/>
    </row>
    <row r="482" spans="4:7" x14ac:dyDescent="0.25">
      <c r="D482"/>
      <c r="E482"/>
      <c r="F482"/>
      <c r="G482"/>
    </row>
    <row r="483" spans="4:7" x14ac:dyDescent="0.25">
      <c r="D483"/>
      <c r="E483"/>
      <c r="F483"/>
      <c r="G483"/>
    </row>
    <row r="484" spans="4:7" x14ac:dyDescent="0.25">
      <c r="D484"/>
      <c r="E484"/>
      <c r="F484"/>
      <c r="G484"/>
    </row>
    <row r="485" spans="4:7" x14ac:dyDescent="0.25">
      <c r="D485"/>
      <c r="E485"/>
      <c r="F485"/>
      <c r="G485"/>
    </row>
    <row r="486" spans="4:7" x14ac:dyDescent="0.25">
      <c r="D486"/>
      <c r="E486"/>
      <c r="F486"/>
      <c r="G486"/>
    </row>
    <row r="487" spans="4:7" x14ac:dyDescent="0.25">
      <c r="D487"/>
      <c r="E487"/>
      <c r="F487"/>
      <c r="G487"/>
    </row>
    <row r="488" spans="4:7" x14ac:dyDescent="0.25">
      <c r="D488"/>
      <c r="E488"/>
      <c r="F488"/>
      <c r="G488"/>
    </row>
    <row r="489" spans="4:7" x14ac:dyDescent="0.25">
      <c r="D489"/>
      <c r="E489"/>
      <c r="F489"/>
      <c r="G489"/>
    </row>
    <row r="490" spans="4:7" x14ac:dyDescent="0.25">
      <c r="D490"/>
      <c r="E490"/>
      <c r="F490"/>
      <c r="G490"/>
    </row>
    <row r="491" spans="4:7" x14ac:dyDescent="0.25">
      <c r="D491"/>
      <c r="E491"/>
      <c r="F491"/>
      <c r="G491"/>
    </row>
    <row r="492" spans="4:7" x14ac:dyDescent="0.25">
      <c r="D492"/>
      <c r="E492"/>
      <c r="F492"/>
      <c r="G492"/>
    </row>
    <row r="493" spans="4:7" x14ac:dyDescent="0.25">
      <c r="D493"/>
      <c r="E493"/>
      <c r="F493"/>
      <c r="G493"/>
    </row>
    <row r="494" spans="4:7" x14ac:dyDescent="0.25">
      <c r="D494"/>
      <c r="E494"/>
      <c r="F494"/>
      <c r="G494"/>
    </row>
    <row r="495" spans="4:7" x14ac:dyDescent="0.25">
      <c r="D495"/>
      <c r="E495"/>
      <c r="F495"/>
      <c r="G495"/>
    </row>
    <row r="496" spans="4:7" x14ac:dyDescent="0.25">
      <c r="D496"/>
      <c r="E496"/>
      <c r="F496"/>
      <c r="G496"/>
    </row>
    <row r="497" spans="4:7" x14ac:dyDescent="0.25">
      <c r="D497"/>
      <c r="E497"/>
      <c r="F497"/>
      <c r="G497"/>
    </row>
    <row r="498" spans="4:7" x14ac:dyDescent="0.25">
      <c r="D498"/>
      <c r="E498"/>
      <c r="F498"/>
      <c r="G498"/>
    </row>
    <row r="499" spans="4:7" x14ac:dyDescent="0.25">
      <c r="D499"/>
      <c r="E499"/>
      <c r="F499"/>
      <c r="G499"/>
    </row>
    <row r="500" spans="4:7" x14ac:dyDescent="0.25">
      <c r="D500"/>
      <c r="E500"/>
      <c r="F500"/>
      <c r="G500"/>
    </row>
    <row r="501" spans="4:7" x14ac:dyDescent="0.25">
      <c r="D501"/>
      <c r="E501"/>
      <c r="F501"/>
      <c r="G501"/>
    </row>
    <row r="502" spans="4:7" x14ac:dyDescent="0.25">
      <c r="D502"/>
      <c r="E502"/>
      <c r="F502"/>
      <c r="G502"/>
    </row>
    <row r="503" spans="4:7" x14ac:dyDescent="0.25">
      <c r="D503"/>
      <c r="E503"/>
      <c r="F503"/>
      <c r="G503"/>
    </row>
    <row r="504" spans="4:7" x14ac:dyDescent="0.25">
      <c r="D504"/>
      <c r="E504"/>
      <c r="F504"/>
      <c r="G504"/>
    </row>
    <row r="505" spans="4:7" x14ac:dyDescent="0.25">
      <c r="D505"/>
      <c r="E505"/>
      <c r="F505"/>
      <c r="G505"/>
    </row>
    <row r="506" spans="4:7" x14ac:dyDescent="0.25">
      <c r="D506"/>
      <c r="E506"/>
      <c r="F506"/>
      <c r="G506"/>
    </row>
    <row r="507" spans="4:7" x14ac:dyDescent="0.25">
      <c r="D507"/>
      <c r="E507"/>
      <c r="F507"/>
      <c r="G507"/>
    </row>
    <row r="508" spans="4:7" x14ac:dyDescent="0.25">
      <c r="D508"/>
      <c r="E508"/>
      <c r="F508"/>
      <c r="G508"/>
    </row>
    <row r="509" spans="4:7" x14ac:dyDescent="0.25">
      <c r="D509"/>
      <c r="E509"/>
      <c r="F509"/>
      <c r="G509"/>
    </row>
    <row r="510" spans="4:7" x14ac:dyDescent="0.25">
      <c r="D510"/>
      <c r="E510"/>
      <c r="F510"/>
      <c r="G510"/>
    </row>
    <row r="511" spans="4:7" x14ac:dyDescent="0.25">
      <c r="D511"/>
      <c r="E511"/>
      <c r="F511"/>
      <c r="G511"/>
    </row>
    <row r="512" spans="4:7" x14ac:dyDescent="0.25">
      <c r="D512"/>
      <c r="E512"/>
      <c r="F512"/>
      <c r="G512"/>
    </row>
    <row r="513" spans="4:7" x14ac:dyDescent="0.25">
      <c r="D513"/>
      <c r="E513"/>
      <c r="F513"/>
      <c r="G513"/>
    </row>
    <row r="514" spans="4:7" x14ac:dyDescent="0.25">
      <c r="D514"/>
      <c r="E514"/>
      <c r="F514"/>
      <c r="G514"/>
    </row>
    <row r="515" spans="4:7" x14ac:dyDescent="0.25">
      <c r="D515"/>
      <c r="E515"/>
      <c r="F515"/>
      <c r="G515"/>
    </row>
    <row r="516" spans="4:7" x14ac:dyDescent="0.25">
      <c r="D516"/>
      <c r="E516"/>
      <c r="F516"/>
      <c r="G516"/>
    </row>
    <row r="517" spans="4:7" x14ac:dyDescent="0.25">
      <c r="D517"/>
      <c r="E517"/>
      <c r="F517"/>
      <c r="G517"/>
    </row>
    <row r="518" spans="4:7" x14ac:dyDescent="0.25">
      <c r="D518"/>
      <c r="E518"/>
      <c r="F518"/>
      <c r="G518"/>
    </row>
    <row r="519" spans="4:7" x14ac:dyDescent="0.25">
      <c r="D519"/>
      <c r="E519"/>
      <c r="F519"/>
      <c r="G519"/>
    </row>
    <row r="520" spans="4:7" x14ac:dyDescent="0.25">
      <c r="D520"/>
      <c r="E520"/>
      <c r="F520"/>
      <c r="G520"/>
    </row>
    <row r="521" spans="4:7" x14ac:dyDescent="0.25">
      <c r="D521"/>
      <c r="E521"/>
      <c r="F521"/>
      <c r="G521"/>
    </row>
    <row r="522" spans="4:7" x14ac:dyDescent="0.25">
      <c r="D522"/>
      <c r="E522"/>
      <c r="F522"/>
      <c r="G522"/>
    </row>
    <row r="523" spans="4:7" x14ac:dyDescent="0.25">
      <c r="D523"/>
      <c r="E523"/>
      <c r="F523"/>
      <c r="G523"/>
    </row>
    <row r="524" spans="4:7" x14ac:dyDescent="0.25">
      <c r="D524"/>
      <c r="E524"/>
      <c r="F524"/>
      <c r="G524"/>
    </row>
    <row r="525" spans="4:7" x14ac:dyDescent="0.25">
      <c r="D525"/>
      <c r="E525"/>
      <c r="F525"/>
      <c r="G525"/>
    </row>
    <row r="526" spans="4:7" x14ac:dyDescent="0.25">
      <c r="D526"/>
      <c r="E526"/>
      <c r="F526"/>
      <c r="G526"/>
    </row>
    <row r="527" spans="4:7" x14ac:dyDescent="0.25">
      <c r="D527"/>
      <c r="E527"/>
      <c r="F527"/>
      <c r="G527"/>
    </row>
    <row r="528" spans="4:7" x14ac:dyDescent="0.25">
      <c r="D528"/>
      <c r="E528"/>
      <c r="F528"/>
      <c r="G528"/>
    </row>
    <row r="529" spans="4:7" x14ac:dyDescent="0.25">
      <c r="D529"/>
      <c r="E529"/>
      <c r="F529"/>
      <c r="G529"/>
    </row>
    <row r="530" spans="4:7" x14ac:dyDescent="0.25">
      <c r="D530"/>
      <c r="E530"/>
      <c r="F530"/>
      <c r="G530"/>
    </row>
    <row r="531" spans="4:7" x14ac:dyDescent="0.25">
      <c r="D531"/>
      <c r="E531"/>
      <c r="F531"/>
      <c r="G531"/>
    </row>
    <row r="532" spans="4:7" x14ac:dyDescent="0.25">
      <c r="D532"/>
      <c r="E532"/>
      <c r="F532"/>
      <c r="G532"/>
    </row>
    <row r="533" spans="4:7" x14ac:dyDescent="0.25">
      <c r="D533"/>
      <c r="E533"/>
      <c r="F533"/>
      <c r="G533"/>
    </row>
    <row r="534" spans="4:7" x14ac:dyDescent="0.25">
      <c r="D534"/>
      <c r="E534"/>
      <c r="F534"/>
      <c r="G534"/>
    </row>
    <row r="535" spans="4:7" x14ac:dyDescent="0.25">
      <c r="D535"/>
      <c r="E535"/>
      <c r="F535"/>
      <c r="G535"/>
    </row>
    <row r="536" spans="4:7" x14ac:dyDescent="0.25">
      <c r="D536"/>
      <c r="E536"/>
      <c r="F536"/>
      <c r="G536"/>
    </row>
    <row r="537" spans="4:7" x14ac:dyDescent="0.25">
      <c r="D537"/>
      <c r="E537"/>
      <c r="F537"/>
      <c r="G537"/>
    </row>
    <row r="538" spans="4:7" x14ac:dyDescent="0.25">
      <c r="D538"/>
      <c r="E538"/>
      <c r="F538"/>
      <c r="G538"/>
    </row>
    <row r="539" spans="4:7" x14ac:dyDescent="0.25">
      <c r="D539"/>
      <c r="E539"/>
      <c r="F539"/>
      <c r="G539"/>
    </row>
    <row r="540" spans="4:7" x14ac:dyDescent="0.25">
      <c r="D540"/>
      <c r="E540"/>
      <c r="F540"/>
      <c r="G540"/>
    </row>
    <row r="541" spans="4:7" x14ac:dyDescent="0.25">
      <c r="D541"/>
      <c r="E541"/>
      <c r="F541"/>
      <c r="G541"/>
    </row>
    <row r="542" spans="4:7" x14ac:dyDescent="0.25">
      <c r="D542"/>
      <c r="E542"/>
      <c r="F542"/>
      <c r="G542"/>
    </row>
    <row r="543" spans="4:7" x14ac:dyDescent="0.25">
      <c r="D543"/>
      <c r="E543"/>
      <c r="F543"/>
      <c r="G543"/>
    </row>
    <row r="544" spans="4:7" x14ac:dyDescent="0.25">
      <c r="D544"/>
      <c r="E544"/>
      <c r="F544"/>
      <c r="G544"/>
    </row>
    <row r="545" spans="4:7" x14ac:dyDescent="0.25">
      <c r="D545"/>
      <c r="E545"/>
      <c r="F545"/>
      <c r="G545"/>
    </row>
    <row r="546" spans="4:7" x14ac:dyDescent="0.25">
      <c r="D546"/>
      <c r="E546"/>
      <c r="F546"/>
      <c r="G546"/>
    </row>
    <row r="547" spans="4:7" x14ac:dyDescent="0.25">
      <c r="D547"/>
      <c r="E547"/>
      <c r="F547"/>
      <c r="G547"/>
    </row>
    <row r="548" spans="4:7" x14ac:dyDescent="0.25">
      <c r="D548"/>
      <c r="E548"/>
      <c r="F548"/>
      <c r="G548"/>
    </row>
    <row r="549" spans="4:7" x14ac:dyDescent="0.25">
      <c r="D549"/>
      <c r="E549"/>
      <c r="F549"/>
      <c r="G549"/>
    </row>
    <row r="550" spans="4:7" x14ac:dyDescent="0.25">
      <c r="D550"/>
      <c r="E550"/>
      <c r="F550"/>
      <c r="G550"/>
    </row>
    <row r="551" spans="4:7" x14ac:dyDescent="0.25">
      <c r="D551"/>
      <c r="E551"/>
      <c r="F551"/>
      <c r="G551"/>
    </row>
    <row r="552" spans="4:7" x14ac:dyDescent="0.25">
      <c r="D552"/>
      <c r="E552"/>
      <c r="F552"/>
      <c r="G552"/>
    </row>
    <row r="553" spans="4:7" x14ac:dyDescent="0.25">
      <c r="D553"/>
      <c r="E553"/>
      <c r="F553"/>
      <c r="G553"/>
    </row>
    <row r="554" spans="4:7" x14ac:dyDescent="0.25">
      <c r="D554"/>
      <c r="E554"/>
      <c r="F554"/>
      <c r="G554"/>
    </row>
    <row r="555" spans="4:7" x14ac:dyDescent="0.25">
      <c r="D555"/>
      <c r="E555"/>
      <c r="F555"/>
      <c r="G555"/>
    </row>
    <row r="556" spans="4:7" x14ac:dyDescent="0.25">
      <c r="D556"/>
      <c r="E556"/>
      <c r="F556"/>
      <c r="G556"/>
    </row>
    <row r="557" spans="4:7" x14ac:dyDescent="0.25">
      <c r="D557"/>
      <c r="E557"/>
      <c r="F557"/>
      <c r="G557"/>
    </row>
    <row r="558" spans="4:7" x14ac:dyDescent="0.25">
      <c r="D558"/>
      <c r="E558"/>
      <c r="F558"/>
      <c r="G558"/>
    </row>
    <row r="559" spans="4:7" x14ac:dyDescent="0.25">
      <c r="D559"/>
      <c r="E559"/>
      <c r="F559"/>
      <c r="G559"/>
    </row>
    <row r="560" spans="4:7" x14ac:dyDescent="0.25">
      <c r="D560"/>
      <c r="E560"/>
      <c r="F560"/>
      <c r="G560"/>
    </row>
    <row r="561" spans="4:7" x14ac:dyDescent="0.25">
      <c r="D561"/>
      <c r="E561"/>
      <c r="F561"/>
      <c r="G561"/>
    </row>
    <row r="562" spans="4:7" x14ac:dyDescent="0.25">
      <c r="D562"/>
      <c r="E562"/>
      <c r="F562"/>
      <c r="G562"/>
    </row>
    <row r="563" spans="4:7" x14ac:dyDescent="0.25">
      <c r="D563"/>
      <c r="E563"/>
      <c r="F563"/>
      <c r="G563"/>
    </row>
    <row r="564" spans="4:7" x14ac:dyDescent="0.25">
      <c r="D564"/>
      <c r="E564"/>
      <c r="F564"/>
      <c r="G564"/>
    </row>
    <row r="565" spans="4:7" x14ac:dyDescent="0.25">
      <c r="D565"/>
      <c r="E565"/>
      <c r="F565"/>
      <c r="G565"/>
    </row>
    <row r="566" spans="4:7" x14ac:dyDescent="0.25">
      <c r="D566"/>
      <c r="E566"/>
      <c r="F566"/>
      <c r="G566"/>
    </row>
    <row r="567" spans="4:7" x14ac:dyDescent="0.25">
      <c r="D567"/>
      <c r="E567"/>
      <c r="F567"/>
      <c r="G567"/>
    </row>
    <row r="568" spans="4:7" x14ac:dyDescent="0.25">
      <c r="D568"/>
      <c r="E568"/>
      <c r="F568"/>
      <c r="G568"/>
    </row>
    <row r="569" spans="4:7" x14ac:dyDescent="0.25">
      <c r="D569"/>
      <c r="E569"/>
      <c r="F569"/>
      <c r="G569"/>
    </row>
    <row r="570" spans="4:7" x14ac:dyDescent="0.25">
      <c r="D570"/>
      <c r="E570"/>
      <c r="F570"/>
      <c r="G570"/>
    </row>
    <row r="571" spans="4:7" x14ac:dyDescent="0.25">
      <c r="D571"/>
      <c r="E571"/>
      <c r="F571"/>
      <c r="G571"/>
    </row>
    <row r="572" spans="4:7" x14ac:dyDescent="0.25">
      <c r="D572"/>
      <c r="E572"/>
      <c r="F572"/>
      <c r="G572"/>
    </row>
    <row r="573" spans="4:7" x14ac:dyDescent="0.25">
      <c r="D573"/>
      <c r="E573"/>
      <c r="F573"/>
      <c r="G573"/>
    </row>
    <row r="574" spans="4:7" x14ac:dyDescent="0.25">
      <c r="D574"/>
      <c r="E574"/>
      <c r="F574"/>
      <c r="G574"/>
    </row>
    <row r="575" spans="4:7" x14ac:dyDescent="0.25">
      <c r="D575"/>
      <c r="E575"/>
      <c r="F575"/>
      <c r="G575"/>
    </row>
    <row r="576" spans="4:7" x14ac:dyDescent="0.25">
      <c r="D576"/>
      <c r="E576"/>
      <c r="F576"/>
      <c r="G576"/>
    </row>
    <row r="577" spans="4:7" x14ac:dyDescent="0.25">
      <c r="D577"/>
      <c r="E577"/>
      <c r="F577"/>
      <c r="G577"/>
    </row>
    <row r="578" spans="4:7" x14ac:dyDescent="0.25">
      <c r="D578"/>
      <c r="E578"/>
      <c r="F578"/>
      <c r="G578"/>
    </row>
    <row r="579" spans="4:7" x14ac:dyDescent="0.25">
      <c r="D579"/>
      <c r="E579"/>
      <c r="F579"/>
      <c r="G579"/>
    </row>
    <row r="580" spans="4:7" x14ac:dyDescent="0.25">
      <c r="D580"/>
      <c r="E580"/>
      <c r="F580"/>
      <c r="G580"/>
    </row>
    <row r="581" spans="4:7" x14ac:dyDescent="0.25">
      <c r="D581"/>
      <c r="E581"/>
      <c r="F581"/>
      <c r="G581"/>
    </row>
    <row r="582" spans="4:7" x14ac:dyDescent="0.25">
      <c r="D582"/>
      <c r="E582"/>
      <c r="F582"/>
      <c r="G582"/>
    </row>
    <row r="583" spans="4:7" x14ac:dyDescent="0.25">
      <c r="D583"/>
      <c r="E583"/>
      <c r="F583"/>
      <c r="G583"/>
    </row>
    <row r="584" spans="4:7" x14ac:dyDescent="0.25">
      <c r="D584"/>
      <c r="E584"/>
      <c r="F584"/>
      <c r="G584"/>
    </row>
    <row r="585" spans="4:7" x14ac:dyDescent="0.25">
      <c r="D585"/>
      <c r="E585"/>
      <c r="F585"/>
      <c r="G585"/>
    </row>
    <row r="586" spans="4:7" x14ac:dyDescent="0.25">
      <c r="D586"/>
      <c r="E586"/>
      <c r="F586"/>
      <c r="G586"/>
    </row>
    <row r="587" spans="4:7" x14ac:dyDescent="0.25">
      <c r="D587"/>
      <c r="E587"/>
      <c r="F587"/>
      <c r="G587"/>
    </row>
    <row r="588" spans="4:7" x14ac:dyDescent="0.25">
      <c r="D588"/>
      <c r="E588"/>
      <c r="F588"/>
      <c r="G588"/>
    </row>
    <row r="589" spans="4:7" x14ac:dyDescent="0.25">
      <c r="D589"/>
      <c r="E589"/>
      <c r="F589"/>
      <c r="G589"/>
    </row>
    <row r="590" spans="4:7" x14ac:dyDescent="0.25">
      <c r="D590"/>
      <c r="E590"/>
      <c r="F590"/>
      <c r="G590"/>
    </row>
    <row r="591" spans="4:7" x14ac:dyDescent="0.25">
      <c r="D591"/>
      <c r="E591"/>
      <c r="F591"/>
      <c r="G591"/>
    </row>
    <row r="592" spans="4:7" x14ac:dyDescent="0.25">
      <c r="D592"/>
      <c r="E592"/>
      <c r="F592"/>
      <c r="G592"/>
    </row>
    <row r="593" spans="4:7" x14ac:dyDescent="0.25">
      <c r="D593"/>
      <c r="E593"/>
      <c r="F593"/>
      <c r="G593"/>
    </row>
    <row r="594" spans="4:7" x14ac:dyDescent="0.25">
      <c r="D594"/>
      <c r="E594"/>
      <c r="F594"/>
      <c r="G594"/>
    </row>
    <row r="595" spans="4:7" x14ac:dyDescent="0.25">
      <c r="D595"/>
      <c r="E595"/>
      <c r="F595"/>
      <c r="G595"/>
    </row>
    <row r="596" spans="4:7" x14ac:dyDescent="0.25">
      <c r="D596"/>
      <c r="E596"/>
      <c r="F596"/>
      <c r="G596"/>
    </row>
    <row r="597" spans="4:7" x14ac:dyDescent="0.25">
      <c r="D597"/>
      <c r="E597"/>
      <c r="F597"/>
      <c r="G597"/>
    </row>
    <row r="598" spans="4:7" x14ac:dyDescent="0.25">
      <c r="D598"/>
      <c r="E598"/>
      <c r="F598"/>
      <c r="G598"/>
    </row>
    <row r="599" spans="4:7" x14ac:dyDescent="0.25">
      <c r="D599"/>
      <c r="E599"/>
      <c r="F599"/>
      <c r="G599"/>
    </row>
    <row r="600" spans="4:7" x14ac:dyDescent="0.25">
      <c r="D600"/>
      <c r="E600"/>
      <c r="F600"/>
      <c r="G600"/>
    </row>
    <row r="601" spans="4:7" x14ac:dyDescent="0.25">
      <c r="D601"/>
      <c r="E601"/>
      <c r="F601"/>
      <c r="G601"/>
    </row>
    <row r="602" spans="4:7" x14ac:dyDescent="0.25">
      <c r="D602"/>
      <c r="E602"/>
      <c r="F602"/>
      <c r="G602"/>
    </row>
    <row r="603" spans="4:7" x14ac:dyDescent="0.25">
      <c r="D603"/>
      <c r="E603"/>
      <c r="F603"/>
      <c r="G603"/>
    </row>
    <row r="604" spans="4:7" x14ac:dyDescent="0.25">
      <c r="D604"/>
      <c r="E604"/>
      <c r="F604"/>
      <c r="G604"/>
    </row>
    <row r="605" spans="4:7" x14ac:dyDescent="0.25">
      <c r="D605"/>
      <c r="E605"/>
      <c r="F605"/>
      <c r="G605"/>
    </row>
    <row r="606" spans="4:7" x14ac:dyDescent="0.25">
      <c r="D606"/>
      <c r="E606"/>
      <c r="F606"/>
      <c r="G606"/>
    </row>
    <row r="607" spans="4:7" x14ac:dyDescent="0.25">
      <c r="D607"/>
      <c r="E607"/>
      <c r="F607"/>
      <c r="G607"/>
    </row>
    <row r="608" spans="4:7" x14ac:dyDescent="0.25">
      <c r="D608"/>
      <c r="E608"/>
      <c r="F608"/>
      <c r="G608"/>
    </row>
    <row r="609" spans="4:7" x14ac:dyDescent="0.25">
      <c r="D609"/>
      <c r="E609"/>
      <c r="F609"/>
      <c r="G609"/>
    </row>
    <row r="610" spans="4:7" x14ac:dyDescent="0.25">
      <c r="D610"/>
      <c r="E610"/>
      <c r="F610"/>
      <c r="G610"/>
    </row>
    <row r="611" spans="4:7" x14ac:dyDescent="0.25">
      <c r="D611"/>
      <c r="E611"/>
      <c r="F611"/>
      <c r="G611"/>
    </row>
    <row r="612" spans="4:7" x14ac:dyDescent="0.25">
      <c r="D612"/>
      <c r="E612"/>
      <c r="F612"/>
      <c r="G612"/>
    </row>
    <row r="613" spans="4:7" x14ac:dyDescent="0.25">
      <c r="D613"/>
      <c r="E613"/>
      <c r="F613"/>
      <c r="G613"/>
    </row>
    <row r="614" spans="4:7" x14ac:dyDescent="0.25">
      <c r="D614"/>
      <c r="E614"/>
      <c r="F614"/>
      <c r="G614"/>
    </row>
    <row r="615" spans="4:7" x14ac:dyDescent="0.25">
      <c r="D615"/>
      <c r="E615"/>
      <c r="F615"/>
      <c r="G615"/>
    </row>
    <row r="616" spans="4:7" x14ac:dyDescent="0.25">
      <c r="D616"/>
      <c r="E616"/>
      <c r="F616"/>
      <c r="G616"/>
    </row>
    <row r="617" spans="4:7" x14ac:dyDescent="0.25">
      <c r="D617"/>
      <c r="E617"/>
      <c r="F617"/>
      <c r="G617"/>
    </row>
    <row r="618" spans="4:7" x14ac:dyDescent="0.25">
      <c r="D618"/>
      <c r="E618"/>
      <c r="F618"/>
      <c r="G618"/>
    </row>
    <row r="619" spans="4:7" x14ac:dyDescent="0.25">
      <c r="D619"/>
      <c r="E619"/>
      <c r="F619"/>
      <c r="G619"/>
    </row>
    <row r="620" spans="4:7" x14ac:dyDescent="0.25">
      <c r="D620"/>
      <c r="E620"/>
      <c r="F620"/>
      <c r="G620"/>
    </row>
    <row r="621" spans="4:7" x14ac:dyDescent="0.25">
      <c r="D621"/>
      <c r="E621"/>
      <c r="F621"/>
      <c r="G621"/>
    </row>
    <row r="622" spans="4:7" x14ac:dyDescent="0.25">
      <c r="D622"/>
      <c r="E622"/>
      <c r="F622"/>
      <c r="G622"/>
    </row>
    <row r="623" spans="4:7" x14ac:dyDescent="0.25">
      <c r="D623"/>
      <c r="E623"/>
      <c r="F623"/>
      <c r="G623"/>
    </row>
    <row r="624" spans="4:7" x14ac:dyDescent="0.25">
      <c r="D624"/>
      <c r="E624"/>
      <c r="F624"/>
      <c r="G624"/>
    </row>
    <row r="625" spans="4:7" x14ac:dyDescent="0.25">
      <c r="D625"/>
      <c r="E625"/>
      <c r="F625"/>
      <c r="G625"/>
    </row>
    <row r="626" spans="4:7" x14ac:dyDescent="0.25">
      <c r="D626"/>
      <c r="E626"/>
      <c r="F626"/>
      <c r="G626"/>
    </row>
    <row r="627" spans="4:7" x14ac:dyDescent="0.25">
      <c r="D627"/>
      <c r="E627"/>
      <c r="F627"/>
      <c r="G627"/>
    </row>
    <row r="628" spans="4:7" x14ac:dyDescent="0.25">
      <c r="D628"/>
      <c r="E628"/>
      <c r="F628"/>
      <c r="G628"/>
    </row>
    <row r="629" spans="4:7" x14ac:dyDescent="0.25">
      <c r="D629"/>
      <c r="E629"/>
      <c r="F629"/>
      <c r="G629"/>
    </row>
    <row r="630" spans="4:7" x14ac:dyDescent="0.25">
      <c r="D630"/>
      <c r="E630"/>
      <c r="F630"/>
      <c r="G630"/>
    </row>
    <row r="631" spans="4:7" x14ac:dyDescent="0.25">
      <c r="D631"/>
      <c r="E631"/>
      <c r="F631"/>
      <c r="G631"/>
    </row>
    <row r="632" spans="4:7" x14ac:dyDescent="0.25">
      <c r="D632"/>
      <c r="E632"/>
      <c r="F632"/>
      <c r="G632"/>
    </row>
    <row r="633" spans="4:7" x14ac:dyDescent="0.25">
      <c r="D633"/>
      <c r="E633"/>
      <c r="F633"/>
      <c r="G633"/>
    </row>
    <row r="634" spans="4:7" x14ac:dyDescent="0.25">
      <c r="D634"/>
      <c r="E634"/>
      <c r="F634"/>
      <c r="G634"/>
    </row>
    <row r="635" spans="4:7" x14ac:dyDescent="0.25">
      <c r="D635"/>
      <c r="E635"/>
      <c r="F635"/>
      <c r="G635"/>
    </row>
    <row r="636" spans="4:7" x14ac:dyDescent="0.25">
      <c r="D636"/>
      <c r="E636"/>
      <c r="F636"/>
      <c r="G636"/>
    </row>
    <row r="637" spans="4:7" x14ac:dyDescent="0.25">
      <c r="D637"/>
      <c r="E637"/>
      <c r="F637"/>
      <c r="G637"/>
    </row>
    <row r="638" spans="4:7" x14ac:dyDescent="0.25">
      <c r="D638"/>
      <c r="E638"/>
      <c r="F638"/>
      <c r="G638"/>
    </row>
    <row r="639" spans="4:7" x14ac:dyDescent="0.25">
      <c r="D639"/>
      <c r="E639"/>
      <c r="F639"/>
      <c r="G639"/>
    </row>
    <row r="640" spans="4:7" x14ac:dyDescent="0.25">
      <c r="D640"/>
      <c r="E640"/>
      <c r="F640"/>
      <c r="G640"/>
    </row>
    <row r="641" spans="4:7" x14ac:dyDescent="0.25">
      <c r="D641"/>
      <c r="E641"/>
      <c r="F641"/>
      <c r="G641"/>
    </row>
    <row r="642" spans="4:7" x14ac:dyDescent="0.25">
      <c r="D642"/>
      <c r="E642"/>
      <c r="F642"/>
      <c r="G642"/>
    </row>
    <row r="643" spans="4:7" x14ac:dyDescent="0.25">
      <c r="D643"/>
      <c r="E643"/>
      <c r="F643"/>
      <c r="G643"/>
    </row>
    <row r="644" spans="4:7" x14ac:dyDescent="0.25">
      <c r="D644"/>
      <c r="E644"/>
      <c r="F644"/>
      <c r="G644"/>
    </row>
    <row r="645" spans="4:7" x14ac:dyDescent="0.25">
      <c r="D645"/>
      <c r="E645"/>
      <c r="F645"/>
      <c r="G645"/>
    </row>
    <row r="646" spans="4:7" x14ac:dyDescent="0.25">
      <c r="D646"/>
      <c r="E646"/>
      <c r="F646"/>
      <c r="G646"/>
    </row>
    <row r="647" spans="4:7" x14ac:dyDescent="0.25">
      <c r="D647"/>
      <c r="E647"/>
      <c r="F647"/>
      <c r="G647"/>
    </row>
    <row r="648" spans="4:7" x14ac:dyDescent="0.25">
      <c r="D648"/>
      <c r="E648"/>
      <c r="F648"/>
      <c r="G648"/>
    </row>
    <row r="649" spans="4:7" x14ac:dyDescent="0.25">
      <c r="D649"/>
      <c r="E649"/>
      <c r="F649"/>
      <c r="G649"/>
    </row>
    <row r="650" spans="4:7" x14ac:dyDescent="0.25">
      <c r="D650"/>
      <c r="E650"/>
      <c r="F650"/>
      <c r="G650"/>
    </row>
    <row r="651" spans="4:7" x14ac:dyDescent="0.25">
      <c r="D651"/>
      <c r="E651"/>
      <c r="F651"/>
      <c r="G651"/>
    </row>
    <row r="652" spans="4:7" x14ac:dyDescent="0.25">
      <c r="D652"/>
      <c r="E652"/>
      <c r="F652"/>
      <c r="G652"/>
    </row>
    <row r="653" spans="4:7" x14ac:dyDescent="0.25">
      <c r="D653"/>
      <c r="E653"/>
      <c r="F653"/>
      <c r="G653"/>
    </row>
    <row r="654" spans="4:7" x14ac:dyDescent="0.25">
      <c r="D654"/>
      <c r="E654"/>
      <c r="F654"/>
      <c r="G654"/>
    </row>
    <row r="655" spans="4:7" x14ac:dyDescent="0.25">
      <c r="D655"/>
      <c r="E655"/>
      <c r="F655"/>
      <c r="G655"/>
    </row>
    <row r="656" spans="4:7" x14ac:dyDescent="0.25">
      <c r="D656"/>
      <c r="E656"/>
      <c r="F656"/>
      <c r="G656"/>
    </row>
    <row r="657" spans="4:7" x14ac:dyDescent="0.25">
      <c r="D657"/>
      <c r="E657"/>
      <c r="F657"/>
      <c r="G657"/>
    </row>
    <row r="658" spans="4:7" x14ac:dyDescent="0.25">
      <c r="D658"/>
      <c r="E658"/>
      <c r="F658"/>
      <c r="G658"/>
    </row>
    <row r="659" spans="4:7" x14ac:dyDescent="0.25">
      <c r="D659"/>
      <c r="E659"/>
      <c r="F659"/>
      <c r="G659"/>
    </row>
    <row r="660" spans="4:7" x14ac:dyDescent="0.25">
      <c r="D660"/>
      <c r="E660"/>
      <c r="F660"/>
      <c r="G660"/>
    </row>
    <row r="661" spans="4:7" x14ac:dyDescent="0.25">
      <c r="D661"/>
      <c r="E661"/>
      <c r="F661"/>
      <c r="G661"/>
    </row>
    <row r="662" spans="4:7" x14ac:dyDescent="0.25">
      <c r="D662"/>
      <c r="E662"/>
      <c r="F662"/>
      <c r="G662"/>
    </row>
    <row r="663" spans="4:7" x14ac:dyDescent="0.25">
      <c r="D663"/>
      <c r="E663"/>
      <c r="F663"/>
      <c r="G663"/>
    </row>
    <row r="664" spans="4:7" x14ac:dyDescent="0.25">
      <c r="D664"/>
      <c r="E664"/>
      <c r="F664"/>
      <c r="G664"/>
    </row>
    <row r="665" spans="4:7" x14ac:dyDescent="0.25">
      <c r="D665"/>
      <c r="E665"/>
      <c r="F665"/>
      <c r="G665"/>
    </row>
    <row r="666" spans="4:7" x14ac:dyDescent="0.25">
      <c r="D666"/>
      <c r="E666"/>
      <c r="F666"/>
      <c r="G666"/>
    </row>
    <row r="667" spans="4:7" x14ac:dyDescent="0.25">
      <c r="D667"/>
      <c r="E667"/>
      <c r="F667"/>
      <c r="G667"/>
    </row>
    <row r="668" spans="4:7" x14ac:dyDescent="0.25">
      <c r="D668"/>
      <c r="E668"/>
      <c r="F668"/>
      <c r="G668"/>
    </row>
    <row r="669" spans="4:7" x14ac:dyDescent="0.25">
      <c r="D669"/>
      <c r="E669"/>
      <c r="F669"/>
      <c r="G669"/>
    </row>
    <row r="670" spans="4:7" x14ac:dyDescent="0.25">
      <c r="D670"/>
      <c r="E670"/>
      <c r="F670"/>
      <c r="G670"/>
    </row>
    <row r="671" spans="4:7" x14ac:dyDescent="0.25">
      <c r="D671"/>
      <c r="E671"/>
      <c r="F671"/>
      <c r="G671"/>
    </row>
    <row r="672" spans="4:7" x14ac:dyDescent="0.25">
      <c r="D672"/>
      <c r="E672"/>
      <c r="F672"/>
      <c r="G672"/>
    </row>
    <row r="673" spans="4:7" x14ac:dyDescent="0.25">
      <c r="D673"/>
      <c r="E673"/>
      <c r="F673"/>
      <c r="G673"/>
    </row>
    <row r="674" spans="4:7" x14ac:dyDescent="0.25">
      <c r="D674"/>
      <c r="E674"/>
      <c r="F674"/>
      <c r="G674"/>
    </row>
    <row r="675" spans="4:7" x14ac:dyDescent="0.25">
      <c r="D675"/>
      <c r="E675"/>
      <c r="F675"/>
      <c r="G675"/>
    </row>
    <row r="676" spans="4:7" x14ac:dyDescent="0.25">
      <c r="D676"/>
      <c r="E676"/>
      <c r="F676"/>
      <c r="G676"/>
    </row>
    <row r="677" spans="4:7" x14ac:dyDescent="0.25">
      <c r="D677"/>
      <c r="E677"/>
      <c r="F677"/>
      <c r="G677"/>
    </row>
    <row r="678" spans="4:7" x14ac:dyDescent="0.25">
      <c r="D678"/>
      <c r="E678"/>
      <c r="F678"/>
      <c r="G678"/>
    </row>
    <row r="679" spans="4:7" x14ac:dyDescent="0.25">
      <c r="D679"/>
      <c r="E679"/>
      <c r="F679"/>
      <c r="G679"/>
    </row>
    <row r="680" spans="4:7" x14ac:dyDescent="0.25">
      <c r="D680"/>
      <c r="E680"/>
      <c r="F680"/>
      <c r="G680"/>
    </row>
    <row r="681" spans="4:7" x14ac:dyDescent="0.25">
      <c r="D681"/>
      <c r="E681"/>
      <c r="F681"/>
      <c r="G681"/>
    </row>
  </sheetData>
  <autoFilter ref="A39:J97"/>
  <mergeCells count="10">
    <mergeCell ref="D20:E20"/>
    <mergeCell ref="F20:G20"/>
    <mergeCell ref="H20:I20"/>
    <mergeCell ref="J20:K20"/>
    <mergeCell ref="C1:K1"/>
    <mergeCell ref="D4:E4"/>
    <mergeCell ref="F4:G4"/>
    <mergeCell ref="H4:I4"/>
    <mergeCell ref="J4:K4"/>
    <mergeCell ref="C18:K18"/>
  </mergeCells>
  <printOptions horizontalCentered="1" verticalCentered="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88"/>
  <sheetViews>
    <sheetView view="pageBreakPre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11.140625" style="100" customWidth="1"/>
    <col min="6" max="6" width="11.5703125" style="249" customWidth="1"/>
    <col min="7" max="10" width="9.85546875" style="100" customWidth="1"/>
    <col min="11" max="16384" width="9.140625" style="100"/>
  </cols>
  <sheetData>
    <row r="1" spans="1:10" x14ac:dyDescent="0.2">
      <c r="A1" s="98" t="s">
        <v>254</v>
      </c>
      <c r="B1" s="98"/>
      <c r="C1" s="99"/>
      <c r="D1" s="99"/>
      <c r="E1" s="99"/>
      <c r="F1" s="99"/>
      <c r="G1" s="99"/>
      <c r="H1" s="99"/>
      <c r="I1" s="99"/>
      <c r="J1" s="99"/>
    </row>
    <row r="2" spans="1:10" x14ac:dyDescent="0.2">
      <c r="A2" s="98" t="s">
        <v>393</v>
      </c>
      <c r="B2" s="98"/>
      <c r="C2" s="101"/>
      <c r="D2" s="101"/>
      <c r="E2" s="101"/>
      <c r="F2" s="101"/>
      <c r="G2" s="101"/>
      <c r="H2" s="101"/>
      <c r="I2" s="101"/>
      <c r="J2" s="101"/>
    </row>
    <row r="3" spans="1:10" ht="8.25" customHeight="1" thickBot="1" x14ac:dyDescent="0.25">
      <c r="A3" s="250"/>
      <c r="B3" s="251"/>
      <c r="C3" s="251"/>
      <c r="D3" s="251"/>
      <c r="E3" s="251"/>
      <c r="F3" s="251"/>
      <c r="G3" s="251"/>
      <c r="H3" s="251"/>
      <c r="I3" s="251"/>
      <c r="J3" s="252"/>
    </row>
    <row r="4" spans="1:10" x14ac:dyDescent="0.2">
      <c r="A4" s="253" t="s">
        <v>256</v>
      </c>
      <c r="B4" s="254" t="s">
        <v>257</v>
      </c>
      <c r="C4" s="254"/>
      <c r="D4" s="254"/>
      <c r="E4" s="254"/>
      <c r="F4" s="255"/>
      <c r="G4" s="255"/>
      <c r="H4" s="255"/>
      <c r="I4" s="255"/>
      <c r="J4" s="256"/>
    </row>
    <row r="5" spans="1:10" x14ac:dyDescent="0.2">
      <c r="A5" s="109"/>
      <c r="B5" s="106" t="s">
        <v>394</v>
      </c>
      <c r="C5" s="110"/>
      <c r="D5" s="110"/>
      <c r="E5" s="106"/>
      <c r="F5" s="111"/>
      <c r="G5" s="111"/>
      <c r="H5" s="111"/>
      <c r="I5" s="111"/>
      <c r="J5" s="112">
        <f>H45</f>
        <v>1739100</v>
      </c>
    </row>
    <row r="6" spans="1:10" x14ac:dyDescent="0.2">
      <c r="A6" s="115" t="s">
        <v>260</v>
      </c>
      <c r="B6" s="116" t="s">
        <v>261</v>
      </c>
      <c r="C6" s="116"/>
      <c r="D6" s="116" t="s">
        <v>395</v>
      </c>
      <c r="E6" s="116"/>
      <c r="F6" s="117"/>
      <c r="G6" s="117"/>
      <c r="H6" s="117"/>
      <c r="I6" s="117"/>
      <c r="J6" s="118"/>
    </row>
    <row r="7" spans="1:10" ht="15" thickBot="1" x14ac:dyDescent="0.25">
      <c r="A7" s="119" t="s">
        <v>263</v>
      </c>
      <c r="B7" s="120" t="s">
        <v>396</v>
      </c>
      <c r="C7" s="120"/>
      <c r="D7" s="121"/>
      <c r="E7" s="121"/>
      <c r="F7" s="121"/>
      <c r="G7" s="123"/>
      <c r="H7" s="123"/>
      <c r="I7" s="123"/>
      <c r="J7" s="124"/>
    </row>
    <row r="8" spans="1:10" ht="7.5" customHeight="1" x14ac:dyDescent="0.2">
      <c r="A8" s="125"/>
      <c r="B8" s="126"/>
      <c r="C8" s="126"/>
      <c r="D8" s="126"/>
      <c r="E8" s="126"/>
      <c r="F8" s="126"/>
      <c r="G8" s="126"/>
      <c r="H8" s="126"/>
      <c r="I8" s="126"/>
      <c r="J8" s="127"/>
    </row>
    <row r="9" spans="1:10" x14ac:dyDescent="0.2">
      <c r="A9" s="128" t="s">
        <v>265</v>
      </c>
      <c r="B9" s="128"/>
      <c r="C9" s="128"/>
      <c r="D9" s="128"/>
      <c r="E9" s="128"/>
      <c r="F9" s="128"/>
      <c r="G9" s="128"/>
      <c r="H9" s="128"/>
      <c r="I9" s="128"/>
      <c r="J9" s="128"/>
    </row>
    <row r="10" spans="1:10" ht="18" customHeight="1" x14ac:dyDescent="0.2">
      <c r="A10" s="129" t="s">
        <v>397</v>
      </c>
      <c r="B10" s="129"/>
      <c r="C10" s="129"/>
      <c r="D10" s="129"/>
      <c r="E10" s="129"/>
      <c r="F10" s="129"/>
      <c r="G10" s="129"/>
      <c r="H10" s="129"/>
      <c r="I10" s="129"/>
      <c r="J10" s="129"/>
    </row>
    <row r="11" spans="1:10" x14ac:dyDescent="0.2">
      <c r="A11" s="129" t="s">
        <v>398</v>
      </c>
      <c r="B11" s="129"/>
      <c r="C11" s="129"/>
      <c r="D11" s="129"/>
      <c r="E11" s="129"/>
      <c r="F11" s="129"/>
      <c r="G11" s="129"/>
      <c r="H11" s="129"/>
      <c r="I11" s="129"/>
      <c r="J11" s="129"/>
    </row>
    <row r="12" spans="1:10" x14ac:dyDescent="0.2">
      <c r="A12" s="128" t="s">
        <v>267</v>
      </c>
      <c r="B12" s="128"/>
      <c r="C12" s="128"/>
      <c r="D12" s="128"/>
      <c r="E12" s="128"/>
      <c r="F12" s="128"/>
      <c r="G12" s="128"/>
      <c r="H12" s="128"/>
      <c r="I12" s="128"/>
      <c r="J12" s="128"/>
    </row>
    <row r="13" spans="1:10" x14ac:dyDescent="0.2">
      <c r="A13" s="129" t="s">
        <v>399</v>
      </c>
      <c r="B13" s="129"/>
      <c r="C13" s="129"/>
      <c r="D13" s="129"/>
      <c r="E13" s="129"/>
      <c r="F13" s="129"/>
      <c r="G13" s="129"/>
      <c r="H13" s="129"/>
      <c r="I13" s="129"/>
      <c r="J13" s="129"/>
    </row>
    <row r="14" spans="1:10" x14ac:dyDescent="0.2">
      <c r="A14" s="129" t="s">
        <v>400</v>
      </c>
      <c r="B14" s="129"/>
      <c r="C14" s="129"/>
      <c r="D14" s="129"/>
      <c r="E14" s="129"/>
      <c r="F14" s="129"/>
      <c r="G14" s="129"/>
      <c r="H14" s="129"/>
      <c r="I14" s="129"/>
      <c r="J14" s="129"/>
    </row>
    <row r="15" spans="1:10" x14ac:dyDescent="0.2">
      <c r="A15" s="129" t="s">
        <v>401</v>
      </c>
      <c r="B15" s="129"/>
      <c r="C15" s="129"/>
      <c r="D15" s="129"/>
      <c r="E15" s="129"/>
      <c r="F15" s="129"/>
      <c r="G15" s="129"/>
      <c r="H15" s="129"/>
      <c r="I15" s="129"/>
      <c r="J15" s="129"/>
    </row>
    <row r="16" spans="1:10" x14ac:dyDescent="0.2">
      <c r="A16" s="129" t="s">
        <v>402</v>
      </c>
      <c r="B16" s="129"/>
      <c r="C16" s="129"/>
      <c r="D16" s="129"/>
      <c r="E16" s="129"/>
      <c r="F16" s="129"/>
      <c r="G16" s="129"/>
      <c r="H16" s="129"/>
      <c r="I16" s="129"/>
      <c r="J16" s="129"/>
    </row>
    <row r="17" spans="1:10" x14ac:dyDescent="0.2">
      <c r="A17" s="128" t="s">
        <v>269</v>
      </c>
      <c r="B17" s="128"/>
      <c r="C17" s="128"/>
      <c r="D17" s="128"/>
      <c r="E17" s="128"/>
      <c r="F17" s="128"/>
      <c r="G17" s="128"/>
      <c r="H17" s="128"/>
      <c r="I17" s="128"/>
      <c r="J17" s="128"/>
    </row>
    <row r="18" spans="1:10" x14ac:dyDescent="0.2">
      <c r="A18" s="129" t="s">
        <v>403</v>
      </c>
      <c r="B18" s="129"/>
      <c r="C18" s="129"/>
      <c r="D18" s="129"/>
      <c r="E18" s="129"/>
      <c r="F18" s="129"/>
      <c r="G18" s="129"/>
      <c r="H18" s="129"/>
      <c r="I18" s="129"/>
      <c r="J18" s="129"/>
    </row>
    <row r="19" spans="1:10" x14ac:dyDescent="0.2">
      <c r="A19" s="128" t="s">
        <v>272</v>
      </c>
      <c r="B19" s="128"/>
      <c r="C19" s="128"/>
      <c r="D19" s="128"/>
      <c r="E19" s="128"/>
      <c r="F19" s="128"/>
      <c r="G19" s="128"/>
      <c r="H19" s="128"/>
      <c r="I19" s="128"/>
      <c r="J19" s="128"/>
    </row>
    <row r="20" spans="1:10" ht="26.25" customHeight="1" x14ac:dyDescent="0.2">
      <c r="A20" s="257" t="s">
        <v>404</v>
      </c>
      <c r="B20" s="257"/>
      <c r="C20" s="257"/>
      <c r="D20" s="257"/>
      <c r="E20" s="257"/>
      <c r="F20" s="257"/>
      <c r="G20" s="257"/>
      <c r="H20" s="257"/>
      <c r="I20" s="257"/>
      <c r="J20" s="257"/>
    </row>
    <row r="21" spans="1:10" x14ac:dyDescent="0.2">
      <c r="A21" s="128" t="s">
        <v>275</v>
      </c>
      <c r="B21" s="128"/>
      <c r="C21" s="128"/>
      <c r="D21" s="128"/>
      <c r="E21" s="128"/>
      <c r="F21" s="128"/>
      <c r="G21" s="128"/>
      <c r="H21" s="128"/>
      <c r="I21" s="128"/>
      <c r="J21" s="128"/>
    </row>
    <row r="22" spans="1:10" ht="33.75" x14ac:dyDescent="0.2">
      <c r="A22" s="130" t="s">
        <v>243</v>
      </c>
      <c r="B22" s="131" t="s">
        <v>242</v>
      </c>
      <c r="C22" s="131"/>
      <c r="D22" s="131"/>
      <c r="E22" s="192" t="str">
        <f>Summary!$G$25</f>
        <v>Actuals           2014-2015</v>
      </c>
      <c r="F22" s="192" t="str">
        <f>Summary!$H$25</f>
        <v>Approved Estimates          2015-2016</v>
      </c>
      <c r="G22" s="192" t="str">
        <f>Summary!$I$25</f>
        <v>Revised Estimates                 2015-2016</v>
      </c>
      <c r="H22" s="192" t="str">
        <f>Summary!$J$25</f>
        <v>Budget Estimates      2016-2017</v>
      </c>
      <c r="I22" s="192" t="str">
        <f>Summary!$K$25</f>
        <v>Forward Estimates     2017-2018</v>
      </c>
      <c r="J22" s="192" t="str">
        <f>Summary!$L$25</f>
        <v>Forward Estimates     2018-2019</v>
      </c>
    </row>
    <row r="23" spans="1:10" x14ac:dyDescent="0.2">
      <c r="A23" s="128" t="s">
        <v>276</v>
      </c>
      <c r="B23" s="128"/>
      <c r="C23" s="128"/>
      <c r="D23" s="128"/>
      <c r="E23" s="128"/>
      <c r="F23" s="128"/>
      <c r="G23" s="128"/>
      <c r="H23" s="128"/>
      <c r="I23" s="128"/>
      <c r="J23" s="128"/>
    </row>
    <row r="24" spans="1:10" x14ac:dyDescent="0.2">
      <c r="A24" s="208" t="s">
        <v>91</v>
      </c>
      <c r="B24" s="129" t="s">
        <v>405</v>
      </c>
      <c r="C24" s="129"/>
      <c r="D24" s="129"/>
      <c r="E24" s="211">
        <f t="shared" ref="E24:J24" si="0">E55</f>
        <v>0</v>
      </c>
      <c r="F24" s="209">
        <f t="shared" si="0"/>
        <v>0</v>
      </c>
      <c r="G24" s="211">
        <f t="shared" si="0"/>
        <v>0</v>
      </c>
      <c r="H24" s="210">
        <f t="shared" si="0"/>
        <v>0</v>
      </c>
      <c r="I24" s="211">
        <f t="shared" si="0"/>
        <v>0</v>
      </c>
      <c r="J24" s="211">
        <f t="shared" si="0"/>
        <v>0</v>
      </c>
    </row>
    <row r="25" spans="1:10" x14ac:dyDescent="0.2">
      <c r="A25" s="137" t="s">
        <v>406</v>
      </c>
      <c r="B25" s="137"/>
      <c r="C25" s="137"/>
      <c r="D25" s="137"/>
      <c r="E25" s="138">
        <f t="shared" ref="E25:J25" si="1">SUM(E24)</f>
        <v>0</v>
      </c>
      <c r="F25" s="138">
        <f t="shared" si="1"/>
        <v>0</v>
      </c>
      <c r="G25" s="138">
        <f t="shared" si="1"/>
        <v>0</v>
      </c>
      <c r="H25" s="138">
        <f t="shared" si="1"/>
        <v>0</v>
      </c>
      <c r="I25" s="138">
        <f t="shared" si="1"/>
        <v>0</v>
      </c>
      <c r="J25" s="138">
        <f t="shared" si="1"/>
        <v>0</v>
      </c>
    </row>
    <row r="26" spans="1:10" ht="15" customHeight="1" x14ac:dyDescent="0.2">
      <c r="A26" s="258"/>
      <c r="B26" s="259"/>
      <c r="C26" s="259"/>
      <c r="D26" s="259"/>
      <c r="E26" s="259"/>
      <c r="F26" s="259"/>
      <c r="G26" s="259"/>
      <c r="H26" s="259"/>
      <c r="I26" s="259"/>
      <c r="J26" s="260"/>
    </row>
    <row r="27" spans="1:10" x14ac:dyDescent="0.2">
      <c r="A27" s="128" t="s">
        <v>281</v>
      </c>
      <c r="B27" s="128"/>
      <c r="C27" s="128"/>
      <c r="D27" s="128"/>
      <c r="E27" s="128"/>
      <c r="F27" s="128"/>
      <c r="G27" s="128"/>
      <c r="H27" s="128"/>
      <c r="I27" s="128"/>
      <c r="J27" s="128"/>
    </row>
    <row r="28" spans="1:10" x14ac:dyDescent="0.2">
      <c r="A28" s="208" t="s">
        <v>91</v>
      </c>
      <c r="B28" s="129" t="s">
        <v>405</v>
      </c>
      <c r="C28" s="129"/>
      <c r="D28" s="129"/>
      <c r="E28" s="211">
        <f t="shared" ref="E28:J28" si="2">E77+E83</f>
        <v>1655116.58</v>
      </c>
      <c r="F28" s="209">
        <f t="shared" si="2"/>
        <v>1682700</v>
      </c>
      <c r="G28" s="211">
        <f t="shared" si="2"/>
        <v>1551800</v>
      </c>
      <c r="H28" s="210">
        <f t="shared" si="2"/>
        <v>1739100</v>
      </c>
      <c r="I28" s="211">
        <f t="shared" si="2"/>
        <v>1768300</v>
      </c>
      <c r="J28" s="211">
        <f t="shared" si="2"/>
        <v>1757000</v>
      </c>
    </row>
    <row r="29" spans="1:10" x14ac:dyDescent="0.2">
      <c r="A29" s="139" t="s">
        <v>407</v>
      </c>
      <c r="B29" s="139"/>
      <c r="C29" s="139"/>
      <c r="D29" s="139"/>
      <c r="E29" s="140">
        <f t="shared" ref="E29:J29" si="3">SUM(E28:E28)</f>
        <v>1655116.58</v>
      </c>
      <c r="F29" s="140">
        <f t="shared" si="3"/>
        <v>1682700</v>
      </c>
      <c r="G29" s="140">
        <f t="shared" si="3"/>
        <v>1551800</v>
      </c>
      <c r="H29" s="140">
        <f t="shared" si="3"/>
        <v>1739100</v>
      </c>
      <c r="I29" s="140">
        <f t="shared" si="3"/>
        <v>1768300</v>
      </c>
      <c r="J29" s="140">
        <f t="shared" si="3"/>
        <v>1757000</v>
      </c>
    </row>
    <row r="30" spans="1:10" ht="6.75" customHeight="1" x14ac:dyDescent="0.2">
      <c r="A30" s="129"/>
      <c r="B30" s="129"/>
      <c r="C30" s="129"/>
      <c r="D30" s="129"/>
      <c r="E30" s="129"/>
      <c r="F30" s="129"/>
      <c r="G30" s="129"/>
      <c r="H30" s="129"/>
      <c r="I30" s="129"/>
      <c r="J30" s="129"/>
    </row>
    <row r="31" spans="1:10" x14ac:dyDescent="0.2">
      <c r="A31" s="141" t="s">
        <v>283</v>
      </c>
      <c r="B31" s="141"/>
      <c r="C31" s="141"/>
      <c r="D31" s="141"/>
      <c r="E31" s="141"/>
      <c r="F31" s="141"/>
      <c r="G31" s="141"/>
      <c r="H31" s="141"/>
      <c r="I31" s="141"/>
      <c r="J31" s="141"/>
    </row>
    <row r="32" spans="1:10" x14ac:dyDescent="0.2">
      <c r="A32" s="131" t="s">
        <v>284</v>
      </c>
      <c r="B32" s="131"/>
      <c r="C32" s="131"/>
      <c r="D32" s="131"/>
      <c r="E32" s="131"/>
      <c r="F32" s="131"/>
      <c r="G32" s="131"/>
      <c r="H32" s="131"/>
      <c r="I32" s="131"/>
      <c r="J32" s="131"/>
    </row>
    <row r="33" spans="1:10" x14ac:dyDescent="0.2">
      <c r="A33" s="208"/>
      <c r="B33" s="129" t="s">
        <v>7</v>
      </c>
      <c r="C33" s="129"/>
      <c r="D33" s="129"/>
      <c r="E33" s="211">
        <f t="shared" ref="E33:J33" si="4">E122</f>
        <v>784287.17</v>
      </c>
      <c r="F33" s="209">
        <f t="shared" si="4"/>
        <v>818200</v>
      </c>
      <c r="G33" s="211">
        <f t="shared" si="4"/>
        <v>790100</v>
      </c>
      <c r="H33" s="210">
        <f t="shared" si="4"/>
        <v>855400</v>
      </c>
      <c r="I33" s="211">
        <f t="shared" si="4"/>
        <v>865800</v>
      </c>
      <c r="J33" s="211">
        <f t="shared" si="4"/>
        <v>876300</v>
      </c>
    </row>
    <row r="34" spans="1:10" x14ac:dyDescent="0.2">
      <c r="A34" s="208"/>
      <c r="B34" s="129" t="s">
        <v>196</v>
      </c>
      <c r="C34" s="129"/>
      <c r="D34" s="129"/>
      <c r="E34" s="211">
        <f t="shared" ref="E34:J34" si="5">E126</f>
        <v>0</v>
      </c>
      <c r="F34" s="209">
        <f t="shared" si="5"/>
        <v>0</v>
      </c>
      <c r="G34" s="211">
        <f t="shared" si="5"/>
        <v>0</v>
      </c>
      <c r="H34" s="210">
        <f t="shared" si="5"/>
        <v>0</v>
      </c>
      <c r="I34" s="211">
        <f t="shared" si="5"/>
        <v>0</v>
      </c>
      <c r="J34" s="211">
        <f t="shared" si="5"/>
        <v>0</v>
      </c>
    </row>
    <row r="35" spans="1:10" x14ac:dyDescent="0.2">
      <c r="A35" s="208"/>
      <c r="B35" s="129" t="s">
        <v>285</v>
      </c>
      <c r="C35" s="129"/>
      <c r="D35" s="129"/>
      <c r="E35" s="211">
        <f t="shared" ref="E35:J35" si="6">E130</f>
        <v>454505.56</v>
      </c>
      <c r="F35" s="209">
        <f t="shared" si="6"/>
        <v>590900</v>
      </c>
      <c r="G35" s="211">
        <f t="shared" si="6"/>
        <v>481100</v>
      </c>
      <c r="H35" s="210">
        <f t="shared" si="6"/>
        <v>614900</v>
      </c>
      <c r="I35" s="211">
        <f t="shared" si="6"/>
        <v>614900</v>
      </c>
      <c r="J35" s="211">
        <f t="shared" si="6"/>
        <v>611900</v>
      </c>
    </row>
    <row r="36" spans="1:10" x14ac:dyDescent="0.2">
      <c r="A36" s="208"/>
      <c r="B36" s="129" t="s">
        <v>198</v>
      </c>
      <c r="C36" s="129"/>
      <c r="D36" s="129"/>
      <c r="E36" s="211">
        <f t="shared" ref="E36:J36" si="7">E134</f>
        <v>0</v>
      </c>
      <c r="F36" s="209">
        <f t="shared" si="7"/>
        <v>18800</v>
      </c>
      <c r="G36" s="211">
        <f t="shared" si="7"/>
        <v>18800</v>
      </c>
      <c r="H36" s="210">
        <f t="shared" si="7"/>
        <v>0</v>
      </c>
      <c r="I36" s="211">
        <f t="shared" si="7"/>
        <v>18800</v>
      </c>
      <c r="J36" s="211">
        <f t="shared" si="7"/>
        <v>0</v>
      </c>
    </row>
    <row r="37" spans="1:10" x14ac:dyDescent="0.2">
      <c r="A37" s="208"/>
      <c r="B37" s="129" t="s">
        <v>286</v>
      </c>
      <c r="C37" s="129"/>
      <c r="D37" s="129"/>
      <c r="E37" s="211">
        <f t="shared" ref="E37:J37" si="8">E138</f>
        <v>416323.85000000003</v>
      </c>
      <c r="F37" s="209">
        <f t="shared" si="8"/>
        <v>254800</v>
      </c>
      <c r="G37" s="211">
        <f t="shared" si="8"/>
        <v>261800</v>
      </c>
      <c r="H37" s="210">
        <f t="shared" si="8"/>
        <v>268800</v>
      </c>
      <c r="I37" s="211">
        <f t="shared" si="8"/>
        <v>268800</v>
      </c>
      <c r="J37" s="211">
        <f t="shared" si="8"/>
        <v>268800</v>
      </c>
    </row>
    <row r="38" spans="1:10" x14ac:dyDescent="0.2">
      <c r="A38" s="139" t="s">
        <v>287</v>
      </c>
      <c r="B38" s="139"/>
      <c r="C38" s="139"/>
      <c r="D38" s="139"/>
      <c r="E38" s="140">
        <f t="shared" ref="E38:J38" si="9">SUM(E33:E37)</f>
        <v>1655116.58</v>
      </c>
      <c r="F38" s="140">
        <f t="shared" si="9"/>
        <v>1682700</v>
      </c>
      <c r="G38" s="140">
        <f t="shared" si="9"/>
        <v>1551800</v>
      </c>
      <c r="H38" s="140">
        <f t="shared" si="9"/>
        <v>1739100</v>
      </c>
      <c r="I38" s="140">
        <f t="shared" si="9"/>
        <v>1768300</v>
      </c>
      <c r="J38" s="140">
        <f t="shared" si="9"/>
        <v>1757000</v>
      </c>
    </row>
    <row r="39" spans="1:10" ht="14.25" customHeight="1" x14ac:dyDescent="0.2">
      <c r="A39" s="129"/>
      <c r="B39" s="129"/>
      <c r="C39" s="129"/>
      <c r="D39" s="129"/>
      <c r="E39" s="129"/>
      <c r="F39" s="129"/>
      <c r="G39" s="129"/>
      <c r="H39" s="129"/>
      <c r="I39" s="129"/>
      <c r="J39" s="129"/>
    </row>
    <row r="40" spans="1:10" x14ac:dyDescent="0.2">
      <c r="A40" s="131" t="s">
        <v>15</v>
      </c>
      <c r="B40" s="131"/>
      <c r="C40" s="131"/>
      <c r="D40" s="131"/>
      <c r="E40" s="131"/>
      <c r="F40" s="131"/>
      <c r="G40" s="131"/>
      <c r="H40" s="131"/>
      <c r="I40" s="131"/>
      <c r="J40" s="131"/>
    </row>
    <row r="41" spans="1:10" x14ac:dyDescent="0.2">
      <c r="A41" s="130" t="s">
        <v>243</v>
      </c>
      <c r="B41" s="130" t="s">
        <v>244</v>
      </c>
      <c r="C41" s="131" t="s">
        <v>245</v>
      </c>
      <c r="D41" s="142"/>
      <c r="E41" s="143"/>
      <c r="F41" s="143"/>
      <c r="G41" s="143"/>
      <c r="H41" s="143"/>
      <c r="I41" s="143"/>
      <c r="J41" s="143"/>
    </row>
    <row r="42" spans="1:10" x14ac:dyDescent="0.2">
      <c r="A42" s="261"/>
      <c r="B42" s="261"/>
      <c r="C42" s="129"/>
      <c r="D42" s="101"/>
      <c r="E42" s="211"/>
      <c r="F42" s="209"/>
      <c r="G42" s="211"/>
      <c r="H42" s="210"/>
      <c r="I42" s="211"/>
      <c r="J42" s="211"/>
    </row>
    <row r="43" spans="1:10" x14ac:dyDescent="0.2">
      <c r="A43" s="139" t="s">
        <v>69</v>
      </c>
      <c r="B43" s="139"/>
      <c r="C43" s="139"/>
      <c r="D43" s="139"/>
      <c r="E43" s="140">
        <f t="shared" ref="E43:J43" si="10">SUM(E42:E42)</f>
        <v>0</v>
      </c>
      <c r="F43" s="140">
        <f t="shared" si="10"/>
        <v>0</v>
      </c>
      <c r="G43" s="140">
        <f t="shared" si="10"/>
        <v>0</v>
      </c>
      <c r="H43" s="140">
        <f t="shared" si="10"/>
        <v>0</v>
      </c>
      <c r="I43" s="140">
        <f t="shared" si="10"/>
        <v>0</v>
      </c>
      <c r="J43" s="140">
        <f t="shared" si="10"/>
        <v>0</v>
      </c>
    </row>
    <row r="44" spans="1:10" ht="11.25" customHeight="1" x14ac:dyDescent="0.2">
      <c r="A44" s="129"/>
      <c r="B44" s="129"/>
      <c r="C44" s="129"/>
      <c r="D44" s="129"/>
      <c r="E44" s="129"/>
      <c r="F44" s="129"/>
      <c r="G44" s="129"/>
      <c r="H44" s="129"/>
      <c r="I44" s="129"/>
      <c r="J44" s="129"/>
    </row>
    <row r="45" spans="1:10" x14ac:dyDescent="0.2">
      <c r="A45" s="137" t="s">
        <v>407</v>
      </c>
      <c r="B45" s="137"/>
      <c r="C45" s="137"/>
      <c r="D45" s="137"/>
      <c r="E45" s="147">
        <f t="shared" ref="E45:J45" si="11">SUM(E38,E43)</f>
        <v>1655116.58</v>
      </c>
      <c r="F45" s="147">
        <f t="shared" si="11"/>
        <v>1682700</v>
      </c>
      <c r="G45" s="147">
        <f t="shared" si="11"/>
        <v>1551800</v>
      </c>
      <c r="H45" s="147">
        <f t="shared" si="11"/>
        <v>1739100</v>
      </c>
      <c r="I45" s="147">
        <f t="shared" si="11"/>
        <v>1768300</v>
      </c>
      <c r="J45" s="147">
        <f t="shared" si="11"/>
        <v>1757000</v>
      </c>
    </row>
    <row r="46" spans="1:10" ht="9" customHeight="1" x14ac:dyDescent="0.2">
      <c r="A46" s="129"/>
      <c r="B46" s="129"/>
      <c r="C46" s="129"/>
      <c r="D46" s="129"/>
      <c r="E46" s="129"/>
      <c r="F46" s="129"/>
      <c r="G46" s="129"/>
      <c r="H46" s="129"/>
      <c r="I46" s="129"/>
      <c r="J46" s="129"/>
    </row>
    <row r="47" spans="1:10" x14ac:dyDescent="0.2">
      <c r="A47" s="128" t="s">
        <v>288</v>
      </c>
      <c r="B47" s="128"/>
      <c r="C47" s="128"/>
      <c r="D47" s="128"/>
      <c r="E47" s="128"/>
      <c r="F47" s="128"/>
      <c r="G47" s="128"/>
      <c r="H47" s="128"/>
      <c r="I47" s="128"/>
      <c r="J47" s="128"/>
    </row>
    <row r="48" spans="1:10" x14ac:dyDescent="0.2">
      <c r="A48" s="137" t="s">
        <v>289</v>
      </c>
      <c r="B48" s="137"/>
      <c r="C48" s="137"/>
      <c r="D48" s="137"/>
      <c r="E48" s="149"/>
      <c r="F48" s="149"/>
      <c r="G48" s="149"/>
      <c r="H48" s="148"/>
      <c r="I48" s="149"/>
      <c r="J48" s="149"/>
    </row>
    <row r="49" spans="1:10" x14ac:dyDescent="0.2">
      <c r="A49" s="150" t="s">
        <v>408</v>
      </c>
      <c r="B49" s="150"/>
      <c r="C49" s="150"/>
      <c r="D49" s="150"/>
      <c r="E49" s="150"/>
      <c r="F49" s="150"/>
      <c r="G49" s="150"/>
      <c r="H49" s="150"/>
      <c r="I49" s="150"/>
      <c r="J49" s="150"/>
    </row>
    <row r="50" spans="1:10" x14ac:dyDescent="0.2">
      <c r="A50" s="151" t="s">
        <v>291</v>
      </c>
      <c r="B50" s="151"/>
      <c r="C50" s="151"/>
      <c r="D50" s="101"/>
      <c r="E50" s="101"/>
      <c r="F50" s="101"/>
      <c r="G50" s="101"/>
      <c r="H50" s="101"/>
      <c r="I50" s="101"/>
      <c r="J50" s="101"/>
    </row>
    <row r="51" spans="1:10" ht="26.25" customHeight="1" x14ac:dyDescent="0.2">
      <c r="A51" s="129" t="s">
        <v>409</v>
      </c>
      <c r="B51" s="129"/>
      <c r="C51" s="129"/>
      <c r="D51" s="129"/>
      <c r="E51" s="129"/>
      <c r="F51" s="129"/>
      <c r="G51" s="129"/>
      <c r="H51" s="129"/>
      <c r="I51" s="129"/>
      <c r="J51" s="129"/>
    </row>
    <row r="52" spans="1:10" x14ac:dyDescent="0.2">
      <c r="A52" s="128" t="s">
        <v>293</v>
      </c>
      <c r="B52" s="128"/>
      <c r="C52" s="128"/>
      <c r="D52" s="128"/>
      <c r="E52" s="128"/>
      <c r="F52" s="128"/>
      <c r="G52" s="128"/>
      <c r="H52" s="128"/>
      <c r="I52" s="128"/>
      <c r="J52" s="128"/>
    </row>
    <row r="53" spans="1:10" ht="33.75" x14ac:dyDescent="0.2">
      <c r="A53" s="152" t="s">
        <v>243</v>
      </c>
      <c r="B53" s="151" t="s">
        <v>242</v>
      </c>
      <c r="C53" s="151"/>
      <c r="D53" s="151"/>
      <c r="E53" s="132" t="str">
        <f t="shared" ref="E53:J53" si="12">E22</f>
        <v>Actuals           2014-2015</v>
      </c>
      <c r="F53" s="132" t="str">
        <f t="shared" si="12"/>
        <v>Approved Estimates          2015-2016</v>
      </c>
      <c r="G53" s="132" t="str">
        <f t="shared" si="12"/>
        <v>Revised Estimates                 2015-2016</v>
      </c>
      <c r="H53" s="132" t="str">
        <f t="shared" si="12"/>
        <v>Budget Estimates      2016-2017</v>
      </c>
      <c r="I53" s="132" t="str">
        <f t="shared" si="12"/>
        <v>Forward Estimates     2017-2018</v>
      </c>
      <c r="J53" s="132" t="str">
        <f t="shared" si="12"/>
        <v>Forward Estimates     2018-2019</v>
      </c>
    </row>
    <row r="54" spans="1:10" x14ac:dyDescent="0.2">
      <c r="A54" s="133"/>
      <c r="B54" s="134"/>
      <c r="C54" s="134"/>
      <c r="D54" s="134"/>
      <c r="E54" s="135"/>
      <c r="F54" s="262"/>
      <c r="G54" s="135"/>
      <c r="H54" s="136"/>
      <c r="I54" s="135"/>
      <c r="J54" s="135"/>
    </row>
    <row r="55" spans="1:10" x14ac:dyDescent="0.2">
      <c r="A55" s="137" t="s">
        <v>410</v>
      </c>
      <c r="B55" s="137"/>
      <c r="C55" s="137"/>
      <c r="D55" s="137"/>
      <c r="E55" s="138">
        <f t="shared" ref="E55:J55" si="13">SUM(E54:E54)</f>
        <v>0</v>
      </c>
      <c r="F55" s="138">
        <f t="shared" si="13"/>
        <v>0</v>
      </c>
      <c r="G55" s="138">
        <f t="shared" si="13"/>
        <v>0</v>
      </c>
      <c r="H55" s="138">
        <f t="shared" si="13"/>
        <v>0</v>
      </c>
      <c r="I55" s="138">
        <f t="shared" si="13"/>
        <v>0</v>
      </c>
      <c r="J55" s="138">
        <f t="shared" si="13"/>
        <v>0</v>
      </c>
    </row>
    <row r="56" spans="1:10" ht="9" customHeight="1" x14ac:dyDescent="0.2">
      <c r="A56" s="129"/>
      <c r="B56" s="129"/>
      <c r="C56" s="129"/>
      <c r="D56" s="129"/>
      <c r="E56" s="129"/>
      <c r="F56" s="129"/>
      <c r="G56" s="129"/>
      <c r="H56" s="129"/>
      <c r="I56" s="129"/>
      <c r="J56" s="129"/>
    </row>
    <row r="57" spans="1:10" x14ac:dyDescent="0.2">
      <c r="A57" s="128" t="s">
        <v>284</v>
      </c>
      <c r="B57" s="128"/>
      <c r="C57" s="128"/>
      <c r="D57" s="128"/>
      <c r="E57" s="128"/>
      <c r="F57" s="128"/>
      <c r="G57" s="128"/>
      <c r="H57" s="128"/>
      <c r="I57" s="128"/>
      <c r="J57" s="128"/>
    </row>
    <row r="58" spans="1:10" ht="33.75" x14ac:dyDescent="0.2">
      <c r="A58" s="152" t="s">
        <v>243</v>
      </c>
      <c r="B58" s="151" t="s">
        <v>242</v>
      </c>
      <c r="C58" s="151"/>
      <c r="D58" s="151"/>
      <c r="E58" s="132" t="str">
        <f t="shared" ref="E58:J58" si="14">E22</f>
        <v>Actuals           2014-2015</v>
      </c>
      <c r="F58" s="132" t="str">
        <f t="shared" si="14"/>
        <v>Approved Estimates          2015-2016</v>
      </c>
      <c r="G58" s="132" t="str">
        <f t="shared" si="14"/>
        <v>Revised Estimates                 2015-2016</v>
      </c>
      <c r="H58" s="132" t="str">
        <f t="shared" si="14"/>
        <v>Budget Estimates      2016-2017</v>
      </c>
      <c r="I58" s="132" t="str">
        <f t="shared" si="14"/>
        <v>Forward Estimates     2017-2018</v>
      </c>
      <c r="J58" s="132" t="str">
        <f t="shared" si="14"/>
        <v>Forward Estimates     2018-2019</v>
      </c>
    </row>
    <row r="59" spans="1:10" x14ac:dyDescent="0.2">
      <c r="A59" s="151" t="s">
        <v>7</v>
      </c>
      <c r="B59" s="151"/>
      <c r="C59" s="151"/>
      <c r="D59" s="151"/>
      <c r="E59" s="151"/>
      <c r="F59" s="151"/>
      <c r="G59" s="151"/>
      <c r="H59" s="151"/>
      <c r="I59" s="151"/>
      <c r="J59" s="190"/>
    </row>
    <row r="60" spans="1:10" x14ac:dyDescent="0.2">
      <c r="A60" s="133">
        <v>210</v>
      </c>
      <c r="B60" s="134" t="s">
        <v>7</v>
      </c>
      <c r="C60" s="134"/>
      <c r="D60" s="134"/>
      <c r="E60" s="135">
        <v>784287.17</v>
      </c>
      <c r="F60" s="262">
        <v>818200</v>
      </c>
      <c r="G60" s="135">
        <v>790100</v>
      </c>
      <c r="H60" s="136">
        <v>855400</v>
      </c>
      <c r="I60" s="158">
        <v>865800</v>
      </c>
      <c r="J60" s="158">
        <v>876300</v>
      </c>
    </row>
    <row r="61" spans="1:10" x14ac:dyDescent="0.2">
      <c r="A61" s="133">
        <v>212</v>
      </c>
      <c r="B61" s="134" t="s">
        <v>9</v>
      </c>
      <c r="C61" s="134"/>
      <c r="D61" s="134"/>
      <c r="E61" s="135">
        <v>0</v>
      </c>
      <c r="F61" s="262">
        <v>0</v>
      </c>
      <c r="G61" s="135">
        <v>0</v>
      </c>
      <c r="H61" s="136">
        <v>0</v>
      </c>
      <c r="I61" s="158">
        <v>0</v>
      </c>
      <c r="J61" s="158">
        <v>0</v>
      </c>
    </row>
    <row r="62" spans="1:10" x14ac:dyDescent="0.2">
      <c r="A62" s="133">
        <v>216</v>
      </c>
      <c r="B62" s="134" t="s">
        <v>10</v>
      </c>
      <c r="C62" s="134"/>
      <c r="D62" s="134"/>
      <c r="E62" s="135">
        <v>454505.56</v>
      </c>
      <c r="F62" s="262">
        <v>590900</v>
      </c>
      <c r="G62" s="135">
        <v>481100</v>
      </c>
      <c r="H62" s="136">
        <v>614900</v>
      </c>
      <c r="I62" s="158">
        <v>614900</v>
      </c>
      <c r="J62" s="158">
        <v>611900</v>
      </c>
    </row>
    <row r="63" spans="1:10" x14ac:dyDescent="0.2">
      <c r="A63" s="133">
        <v>218</v>
      </c>
      <c r="B63" s="134" t="s">
        <v>294</v>
      </c>
      <c r="C63" s="134"/>
      <c r="D63" s="134"/>
      <c r="E63" s="135">
        <v>0</v>
      </c>
      <c r="F63" s="262">
        <v>18800</v>
      </c>
      <c r="G63" s="135">
        <v>18800</v>
      </c>
      <c r="H63" s="136">
        <v>0</v>
      </c>
      <c r="I63" s="158">
        <v>18800</v>
      </c>
      <c r="J63" s="158">
        <v>0</v>
      </c>
    </row>
    <row r="64" spans="1:10" x14ac:dyDescent="0.2">
      <c r="A64" s="196" t="s">
        <v>295</v>
      </c>
      <c r="B64" s="196"/>
      <c r="C64" s="196"/>
      <c r="D64" s="196"/>
      <c r="E64" s="197">
        <f t="shared" ref="E64:J64" si="15">SUM(E60:E63)</f>
        <v>1238792.73</v>
      </c>
      <c r="F64" s="197">
        <f t="shared" si="15"/>
        <v>1427900</v>
      </c>
      <c r="G64" s="197">
        <f t="shared" si="15"/>
        <v>1290000</v>
      </c>
      <c r="H64" s="197">
        <f t="shared" si="15"/>
        <v>1470300</v>
      </c>
      <c r="I64" s="197">
        <f t="shared" si="15"/>
        <v>1499500</v>
      </c>
      <c r="J64" s="197">
        <f t="shared" si="15"/>
        <v>1488200</v>
      </c>
    </row>
    <row r="65" spans="1:10" ht="14.25" customHeight="1" x14ac:dyDescent="0.2">
      <c r="A65" s="193" t="s">
        <v>296</v>
      </c>
      <c r="B65" s="263"/>
      <c r="C65" s="263"/>
      <c r="D65" s="263"/>
      <c r="E65" s="263"/>
      <c r="F65" s="263"/>
      <c r="G65" s="263"/>
      <c r="H65" s="263"/>
      <c r="I65" s="263"/>
      <c r="J65" s="195"/>
    </row>
    <row r="66" spans="1:10" x14ac:dyDescent="0.2">
      <c r="A66" s="198">
        <v>222</v>
      </c>
      <c r="B66" s="199" t="s">
        <v>205</v>
      </c>
      <c r="C66" s="199"/>
      <c r="D66" s="199"/>
      <c r="E66" s="200">
        <v>39823.949999999997</v>
      </c>
      <c r="F66" s="200">
        <v>65000</v>
      </c>
      <c r="G66" s="200">
        <v>65000</v>
      </c>
      <c r="H66" s="201">
        <v>50000</v>
      </c>
      <c r="I66" s="200">
        <v>50000</v>
      </c>
      <c r="J66" s="200">
        <v>50000</v>
      </c>
    </row>
    <row r="67" spans="1:10" x14ac:dyDescent="0.2">
      <c r="A67" s="133">
        <v>224</v>
      </c>
      <c r="B67" s="134" t="s">
        <v>206</v>
      </c>
      <c r="C67" s="134"/>
      <c r="D67" s="134"/>
      <c r="E67" s="135">
        <v>18988.7</v>
      </c>
      <c r="F67" s="200">
        <v>27000</v>
      </c>
      <c r="G67" s="200">
        <v>27000</v>
      </c>
      <c r="H67" s="201">
        <v>22000</v>
      </c>
      <c r="I67" s="135">
        <v>22000</v>
      </c>
      <c r="J67" s="135">
        <v>22000</v>
      </c>
    </row>
    <row r="68" spans="1:10" x14ac:dyDescent="0.2">
      <c r="A68" s="133">
        <v>226</v>
      </c>
      <c r="B68" s="134" t="s">
        <v>207</v>
      </c>
      <c r="C68" s="134"/>
      <c r="D68" s="134"/>
      <c r="E68" s="135">
        <v>10633.04</v>
      </c>
      <c r="F68" s="200">
        <v>13000</v>
      </c>
      <c r="G68" s="200">
        <v>15000</v>
      </c>
      <c r="H68" s="201">
        <v>17000</v>
      </c>
      <c r="I68" s="135">
        <v>17000</v>
      </c>
      <c r="J68" s="135">
        <v>17000</v>
      </c>
    </row>
    <row r="69" spans="1:10" x14ac:dyDescent="0.2">
      <c r="A69" s="133">
        <v>228</v>
      </c>
      <c r="B69" s="134" t="s">
        <v>208</v>
      </c>
      <c r="C69" s="134"/>
      <c r="D69" s="134"/>
      <c r="E69" s="135">
        <v>16837.509999999998</v>
      </c>
      <c r="F69" s="200">
        <v>20000</v>
      </c>
      <c r="G69" s="200">
        <v>20000</v>
      </c>
      <c r="H69" s="201">
        <v>20000</v>
      </c>
      <c r="I69" s="135">
        <v>20000</v>
      </c>
      <c r="J69" s="135">
        <v>20000</v>
      </c>
    </row>
    <row r="70" spans="1:10" x14ac:dyDescent="0.2">
      <c r="A70" s="133">
        <v>232</v>
      </c>
      <c r="B70" s="134" t="s">
        <v>211</v>
      </c>
      <c r="C70" s="134"/>
      <c r="D70" s="134"/>
      <c r="E70" s="135">
        <v>4994.99</v>
      </c>
      <c r="F70" s="200">
        <v>3300</v>
      </c>
      <c r="G70" s="200">
        <v>3300</v>
      </c>
      <c r="H70" s="201">
        <v>3300</v>
      </c>
      <c r="I70" s="135">
        <v>3300</v>
      </c>
      <c r="J70" s="135">
        <v>3300</v>
      </c>
    </row>
    <row r="71" spans="1:10" x14ac:dyDescent="0.2">
      <c r="A71" s="133">
        <v>236</v>
      </c>
      <c r="B71" s="134" t="s">
        <v>213</v>
      </c>
      <c r="C71" s="134"/>
      <c r="D71" s="134"/>
      <c r="E71" s="135">
        <v>269969.33</v>
      </c>
      <c r="F71" s="200">
        <v>20000</v>
      </c>
      <c r="G71" s="200">
        <v>20000</v>
      </c>
      <c r="H71" s="201">
        <v>11000</v>
      </c>
      <c r="I71" s="135">
        <v>11000</v>
      </c>
      <c r="J71" s="135">
        <v>11000</v>
      </c>
    </row>
    <row r="72" spans="1:10" x14ac:dyDescent="0.2">
      <c r="A72" s="133">
        <v>246</v>
      </c>
      <c r="B72" s="134" t="s">
        <v>218</v>
      </c>
      <c r="C72" s="134"/>
      <c r="D72" s="134"/>
      <c r="E72" s="135">
        <v>201.25</v>
      </c>
      <c r="F72" s="200">
        <v>1500</v>
      </c>
      <c r="G72" s="200">
        <v>1500</v>
      </c>
      <c r="H72" s="201">
        <v>500</v>
      </c>
      <c r="I72" s="135">
        <v>500</v>
      </c>
      <c r="J72" s="135">
        <v>500</v>
      </c>
    </row>
    <row r="73" spans="1:10" ht="14.25" customHeight="1" x14ac:dyDescent="0.2">
      <c r="A73" s="207">
        <v>265</v>
      </c>
      <c r="B73" s="129" t="s">
        <v>222</v>
      </c>
      <c r="C73" s="129"/>
      <c r="D73" s="129"/>
      <c r="E73" s="135">
        <v>0</v>
      </c>
      <c r="F73" s="211">
        <v>0</v>
      </c>
      <c r="G73" s="211">
        <v>40000</v>
      </c>
      <c r="H73" s="201">
        <v>40000</v>
      </c>
      <c r="I73" s="135">
        <v>40000</v>
      </c>
      <c r="J73" s="135">
        <v>40000</v>
      </c>
    </row>
    <row r="74" spans="1:10" x14ac:dyDescent="0.2">
      <c r="A74" s="133">
        <v>272</v>
      </c>
      <c r="B74" s="134" t="s">
        <v>225</v>
      </c>
      <c r="C74" s="134"/>
      <c r="D74" s="134"/>
      <c r="E74" s="135">
        <v>0</v>
      </c>
      <c r="F74" s="200">
        <v>75000</v>
      </c>
      <c r="G74" s="200">
        <v>35000</v>
      </c>
      <c r="H74" s="201">
        <v>35000</v>
      </c>
      <c r="I74" s="135">
        <v>35000</v>
      </c>
      <c r="J74" s="135">
        <v>35000</v>
      </c>
    </row>
    <row r="75" spans="1:10" x14ac:dyDescent="0.2">
      <c r="A75" s="133">
        <v>275</v>
      </c>
      <c r="B75" s="134" t="s">
        <v>228</v>
      </c>
      <c r="C75" s="134"/>
      <c r="D75" s="134"/>
      <c r="E75" s="135">
        <v>54875.08</v>
      </c>
      <c r="F75" s="200">
        <v>30000</v>
      </c>
      <c r="G75" s="200">
        <v>35000</v>
      </c>
      <c r="H75" s="201">
        <v>70000</v>
      </c>
      <c r="I75" s="135">
        <v>70000</v>
      </c>
      <c r="J75" s="135">
        <v>70000</v>
      </c>
    </row>
    <row r="76" spans="1:10" x14ac:dyDescent="0.2">
      <c r="A76" s="156" t="s">
        <v>298</v>
      </c>
      <c r="B76" s="156"/>
      <c r="C76" s="156"/>
      <c r="D76" s="156"/>
      <c r="E76" s="157">
        <f t="shared" ref="E76:J76" si="16">SUM(E66:E75)</f>
        <v>416323.85000000003</v>
      </c>
      <c r="F76" s="264">
        <f t="shared" si="16"/>
        <v>254800</v>
      </c>
      <c r="G76" s="157">
        <f t="shared" si="16"/>
        <v>261800</v>
      </c>
      <c r="H76" s="157">
        <f t="shared" si="16"/>
        <v>268800</v>
      </c>
      <c r="I76" s="157">
        <f t="shared" si="16"/>
        <v>268800</v>
      </c>
      <c r="J76" s="157">
        <f t="shared" si="16"/>
        <v>268800</v>
      </c>
    </row>
    <row r="77" spans="1:10" x14ac:dyDescent="0.2">
      <c r="A77" s="159" t="s">
        <v>299</v>
      </c>
      <c r="B77" s="159"/>
      <c r="C77" s="159"/>
      <c r="D77" s="159"/>
      <c r="E77" s="160">
        <f t="shared" ref="E77:J77" si="17">SUM(E64,E76)</f>
        <v>1655116.58</v>
      </c>
      <c r="F77" s="160">
        <f t="shared" si="17"/>
        <v>1682700</v>
      </c>
      <c r="G77" s="160">
        <f t="shared" si="17"/>
        <v>1551800</v>
      </c>
      <c r="H77" s="160">
        <f t="shared" si="17"/>
        <v>1739100</v>
      </c>
      <c r="I77" s="160">
        <f t="shared" si="17"/>
        <v>1768300</v>
      </c>
      <c r="J77" s="160">
        <f t="shared" si="17"/>
        <v>1757000</v>
      </c>
    </row>
    <row r="78" spans="1:10" ht="8.25" customHeight="1" x14ac:dyDescent="0.2">
      <c r="A78" s="129"/>
      <c r="B78" s="129"/>
      <c r="C78" s="129"/>
      <c r="D78" s="129"/>
      <c r="E78" s="129"/>
      <c r="F78" s="129"/>
      <c r="G78" s="129"/>
      <c r="H78" s="129"/>
      <c r="I78" s="129"/>
      <c r="J78" s="190"/>
    </row>
    <row r="79" spans="1:10" x14ac:dyDescent="0.2">
      <c r="A79" s="162" t="s">
        <v>15</v>
      </c>
      <c r="B79" s="162"/>
      <c r="C79" s="162"/>
      <c r="D79" s="162"/>
      <c r="E79" s="162"/>
      <c r="F79" s="162"/>
      <c r="G79" s="162"/>
      <c r="H79" s="162"/>
      <c r="I79" s="162"/>
      <c r="J79" s="162"/>
    </row>
    <row r="80" spans="1:10" ht="17.25" customHeight="1" x14ac:dyDescent="0.2">
      <c r="A80" s="131" t="s">
        <v>242</v>
      </c>
      <c r="B80" s="131"/>
      <c r="C80" s="131"/>
      <c r="D80" s="131"/>
      <c r="E80" s="128" t="str">
        <f t="shared" ref="E80:J80" si="18">E22</f>
        <v>Actuals           2014-2015</v>
      </c>
      <c r="F80" s="128" t="str">
        <f t="shared" si="18"/>
        <v>Approved Estimates          2015-2016</v>
      </c>
      <c r="G80" s="128" t="str">
        <f t="shared" si="18"/>
        <v>Revised Estimates                 2015-2016</v>
      </c>
      <c r="H80" s="128" t="str">
        <f t="shared" si="18"/>
        <v>Budget Estimates      2016-2017</v>
      </c>
      <c r="I80" s="128" t="str">
        <f t="shared" si="18"/>
        <v>Forward Estimates     2017-2018</v>
      </c>
      <c r="J80" s="128" t="str">
        <f t="shared" si="18"/>
        <v>Forward Estimates     2018-2019</v>
      </c>
    </row>
    <row r="81" spans="1:10" ht="17.25" customHeight="1" x14ac:dyDescent="0.2">
      <c r="A81" s="130" t="s">
        <v>243</v>
      </c>
      <c r="B81" s="130" t="s">
        <v>244</v>
      </c>
      <c r="C81" s="131" t="s">
        <v>245</v>
      </c>
      <c r="D81" s="131"/>
      <c r="E81" s="101"/>
      <c r="F81" s="101"/>
      <c r="G81" s="101"/>
      <c r="H81" s="101"/>
      <c r="I81" s="101"/>
      <c r="J81" s="101"/>
    </row>
    <row r="82" spans="1:10" x14ac:dyDescent="0.2">
      <c r="A82" s="163"/>
      <c r="B82" s="163"/>
      <c r="C82" s="156"/>
      <c r="D82" s="156"/>
      <c r="E82" s="158"/>
      <c r="F82" s="209"/>
      <c r="G82" s="158"/>
      <c r="H82" s="136"/>
      <c r="I82" s="158"/>
      <c r="J82" s="135"/>
    </row>
    <row r="83" spans="1:10" x14ac:dyDescent="0.2">
      <c r="A83" s="137" t="s">
        <v>15</v>
      </c>
      <c r="B83" s="137"/>
      <c r="C83" s="137"/>
      <c r="D83" s="137"/>
      <c r="E83" s="164">
        <v>0</v>
      </c>
      <c r="F83" s="164">
        <v>0</v>
      </c>
      <c r="G83" s="164">
        <v>0</v>
      </c>
      <c r="H83" s="164">
        <v>0</v>
      </c>
      <c r="I83" s="164">
        <v>0</v>
      </c>
      <c r="J83" s="164">
        <v>0</v>
      </c>
    </row>
    <row r="84" spans="1:10" ht="8.25" customHeight="1" x14ac:dyDescent="0.2">
      <c r="A84" s="134"/>
      <c r="B84" s="134"/>
      <c r="C84" s="134"/>
      <c r="D84" s="134"/>
      <c r="E84" s="134"/>
      <c r="F84" s="134"/>
      <c r="G84" s="134"/>
      <c r="H84" s="134"/>
      <c r="I84" s="134"/>
      <c r="J84" s="190"/>
    </row>
    <row r="85" spans="1:10" x14ac:dyDescent="0.2">
      <c r="A85" s="265" t="s">
        <v>288</v>
      </c>
      <c r="B85" s="266"/>
      <c r="C85" s="266"/>
      <c r="D85" s="266"/>
      <c r="E85" s="266"/>
      <c r="F85" s="266"/>
      <c r="G85" s="266"/>
      <c r="H85" s="266"/>
      <c r="I85" s="266"/>
      <c r="J85" s="267"/>
    </row>
    <row r="86" spans="1:10" ht="14.25" customHeight="1" x14ac:dyDescent="0.2">
      <c r="A86" s="131" t="s">
        <v>300</v>
      </c>
      <c r="B86" s="131"/>
      <c r="C86" s="131"/>
      <c r="D86" s="132" t="s">
        <v>301</v>
      </c>
      <c r="E86" s="132" t="s">
        <v>302</v>
      </c>
      <c r="F86" s="131" t="s">
        <v>300</v>
      </c>
      <c r="G86" s="131"/>
      <c r="H86" s="131"/>
      <c r="I86" s="132" t="s">
        <v>301</v>
      </c>
      <c r="J86" s="132" t="s">
        <v>302</v>
      </c>
    </row>
    <row r="87" spans="1:10" ht="15" customHeight="1" x14ac:dyDescent="0.2">
      <c r="A87" s="134" t="str">
        <f>Establishment!D28</f>
        <v>Attorney General</v>
      </c>
      <c r="B87" s="134"/>
      <c r="C87" s="134"/>
      <c r="D87" s="133" t="str">
        <f>Establishment!E28</f>
        <v>R1</v>
      </c>
      <c r="E87" s="268">
        <f>Establishment!C28</f>
        <v>1</v>
      </c>
      <c r="F87" s="134" t="str">
        <f>Establishment!D34</f>
        <v>Legal Assistant (Drafting)</v>
      </c>
      <c r="G87" s="134"/>
      <c r="H87" s="134"/>
      <c r="I87" s="133" t="str">
        <f>Establishment!E34</f>
        <v>22-18/16</v>
      </c>
      <c r="J87" s="268">
        <f>Establishment!C34</f>
        <v>1</v>
      </c>
    </row>
    <row r="88" spans="1:10" ht="15" customHeight="1" x14ac:dyDescent="0.2">
      <c r="A88" s="134" t="str">
        <f>Establishment!D29</f>
        <v>Parliamentary Counsel</v>
      </c>
      <c r="B88" s="134"/>
      <c r="C88" s="134"/>
      <c r="D88" s="133" t="str">
        <f>Establishment!E29</f>
        <v>R6</v>
      </c>
      <c r="E88" s="268">
        <f>Establishment!C29</f>
        <v>1</v>
      </c>
      <c r="F88" s="134" t="str">
        <f>Establishment!D35</f>
        <v>Legal Assistant (Finance/Administration)</v>
      </c>
      <c r="G88" s="134"/>
      <c r="H88" s="134"/>
      <c r="I88" s="133" t="str">
        <f>Establishment!E35</f>
        <v>R28-22</v>
      </c>
      <c r="J88" s="268">
        <f>Establishment!C35</f>
        <v>1</v>
      </c>
    </row>
    <row r="89" spans="1:10" ht="15" customHeight="1" x14ac:dyDescent="0.2">
      <c r="A89" s="134" t="str">
        <f>Establishment!D30</f>
        <v>Princ Crown Counsel (Civil)</v>
      </c>
      <c r="B89" s="134"/>
      <c r="C89" s="134"/>
      <c r="D89" s="133" t="str">
        <f>Establishment!E30</f>
        <v>R6</v>
      </c>
      <c r="E89" s="268">
        <f>Establishment!C30</f>
        <v>1</v>
      </c>
      <c r="F89" s="134" t="str">
        <f>Establishment!D36</f>
        <v>Clerical Officer (Snr)</v>
      </c>
      <c r="G89" s="134"/>
      <c r="H89" s="134"/>
      <c r="I89" s="133" t="str">
        <f>Establishment!E36</f>
        <v>R33-29</v>
      </c>
      <c r="J89" s="268">
        <f>Establishment!C36</f>
        <v>1</v>
      </c>
    </row>
    <row r="90" spans="1:10" ht="15" customHeight="1" x14ac:dyDescent="0.2">
      <c r="A90" s="134" t="str">
        <f>Establishment!D31</f>
        <v>Snr Crown Counsel (Civil)</v>
      </c>
      <c r="B90" s="134"/>
      <c r="C90" s="134"/>
      <c r="D90" s="133" t="str">
        <f>Establishment!E31</f>
        <v>R12-8</v>
      </c>
      <c r="E90" s="268">
        <f>Establishment!C31</f>
        <v>3</v>
      </c>
      <c r="F90" s="134" t="str">
        <f>Establishment!D37</f>
        <v>Clerical Officer</v>
      </c>
      <c r="G90" s="134"/>
      <c r="H90" s="134"/>
      <c r="I90" s="133" t="str">
        <f>Establishment!E37</f>
        <v>R46-34</v>
      </c>
      <c r="J90" s="268">
        <f>Establishment!C37</f>
        <v>1</v>
      </c>
    </row>
    <row r="91" spans="1:10" ht="15" customHeight="1" x14ac:dyDescent="0.2">
      <c r="A91" s="134" t="str">
        <f>Establishment!D32</f>
        <v>Crown Counsel (Civil)</v>
      </c>
      <c r="B91" s="134"/>
      <c r="C91" s="134"/>
      <c r="D91" s="133" t="str">
        <f>Establishment!E32</f>
        <v>R17-13</v>
      </c>
      <c r="E91" s="268">
        <f>Establishment!C32</f>
        <v>2</v>
      </c>
      <c r="F91" s="134" t="str">
        <f>Establishment!D38</f>
        <v>Office Attendant</v>
      </c>
      <c r="G91" s="134"/>
      <c r="H91" s="134"/>
      <c r="I91" s="133" t="str">
        <f>Establishment!E38</f>
        <v>R51-45</v>
      </c>
      <c r="J91" s="268">
        <f>Establishment!C38</f>
        <v>1</v>
      </c>
    </row>
    <row r="92" spans="1:10" ht="15" customHeight="1" x14ac:dyDescent="0.2">
      <c r="A92" s="134" t="str">
        <f>Establishment!D33</f>
        <v>Crown Counsel (Drafting)</v>
      </c>
      <c r="B92" s="134"/>
      <c r="C92" s="134"/>
      <c r="D92" s="133" t="str">
        <f>Establishment!E33</f>
        <v>R17-13</v>
      </c>
      <c r="E92" s="268">
        <f>Establishment!C33</f>
        <v>1</v>
      </c>
      <c r="F92" s="134"/>
      <c r="G92" s="134"/>
      <c r="H92" s="134"/>
      <c r="I92" s="133"/>
      <c r="J92" s="268"/>
    </row>
    <row r="93" spans="1:10" ht="14.25" customHeight="1" x14ac:dyDescent="0.2">
      <c r="A93" s="203" t="s">
        <v>303</v>
      </c>
      <c r="B93" s="203"/>
      <c r="C93" s="203"/>
      <c r="D93" s="203"/>
      <c r="E93" s="203"/>
      <c r="F93" s="203"/>
      <c r="G93" s="203"/>
      <c r="H93" s="203"/>
      <c r="I93" s="203"/>
      <c r="J93" s="204">
        <f>SUM(E87:E92,J87:J92)</f>
        <v>14</v>
      </c>
    </row>
    <row r="94" spans="1:10" x14ac:dyDescent="0.2">
      <c r="A94" s="129"/>
      <c r="B94" s="129"/>
      <c r="C94" s="129"/>
      <c r="D94" s="129"/>
      <c r="E94" s="129"/>
      <c r="F94" s="179"/>
      <c r="G94" s="179"/>
      <c r="H94" s="179"/>
      <c r="I94" s="179"/>
      <c r="J94" s="179"/>
    </row>
    <row r="95" spans="1:10" ht="15" customHeight="1" x14ac:dyDescent="0.2">
      <c r="A95" s="180" t="s">
        <v>304</v>
      </c>
      <c r="B95" s="180"/>
      <c r="C95" s="180"/>
      <c r="D95" s="180"/>
      <c r="E95" s="180"/>
      <c r="F95" s="180"/>
      <c r="G95" s="180"/>
      <c r="H95" s="180"/>
      <c r="I95" s="180"/>
      <c r="J95" s="180"/>
    </row>
    <row r="96" spans="1:10" ht="15" customHeight="1" x14ac:dyDescent="0.2">
      <c r="A96" s="181" t="s">
        <v>305</v>
      </c>
      <c r="B96" s="181"/>
      <c r="C96" s="181"/>
      <c r="D96" s="181"/>
      <c r="E96" s="181"/>
      <c r="F96" s="181"/>
      <c r="G96" s="181"/>
      <c r="H96" s="181"/>
      <c r="I96" s="181"/>
      <c r="J96" s="181"/>
    </row>
    <row r="97" spans="1:10" ht="15" customHeight="1" x14ac:dyDescent="0.2">
      <c r="A97" s="129" t="s">
        <v>411</v>
      </c>
      <c r="B97" s="129"/>
      <c r="C97" s="129"/>
      <c r="D97" s="129"/>
      <c r="E97" s="129"/>
      <c r="F97" s="129"/>
      <c r="G97" s="129"/>
      <c r="H97" s="129"/>
      <c r="I97" s="129"/>
      <c r="J97" s="129"/>
    </row>
    <row r="98" spans="1:10" ht="15" customHeight="1" x14ac:dyDescent="0.2">
      <c r="A98" s="129" t="s">
        <v>412</v>
      </c>
      <c r="B98" s="129"/>
      <c r="C98" s="129"/>
      <c r="D98" s="129"/>
      <c r="E98" s="129"/>
      <c r="F98" s="129"/>
      <c r="G98" s="129"/>
      <c r="H98" s="129"/>
      <c r="I98" s="129"/>
      <c r="J98" s="129"/>
    </row>
    <row r="99" spans="1:10" ht="15" customHeight="1" x14ac:dyDescent="0.2">
      <c r="A99" s="129" t="s">
        <v>413</v>
      </c>
      <c r="B99" s="129"/>
      <c r="C99" s="129"/>
      <c r="D99" s="129"/>
      <c r="E99" s="129"/>
      <c r="F99" s="129"/>
      <c r="G99" s="129"/>
      <c r="H99" s="129"/>
      <c r="I99" s="129"/>
      <c r="J99" s="129"/>
    </row>
    <row r="100" spans="1:10" ht="15" customHeight="1" x14ac:dyDescent="0.2">
      <c r="A100" s="129" t="s">
        <v>414</v>
      </c>
      <c r="B100" s="129"/>
      <c r="C100" s="129"/>
      <c r="D100" s="129"/>
      <c r="E100" s="129"/>
      <c r="F100" s="129"/>
      <c r="G100" s="129"/>
      <c r="H100" s="129"/>
      <c r="I100" s="129"/>
      <c r="J100" s="129"/>
    </row>
    <row r="101" spans="1:10" ht="15" customHeight="1" x14ac:dyDescent="0.2">
      <c r="A101" s="129"/>
      <c r="B101" s="129"/>
      <c r="C101" s="129"/>
      <c r="D101" s="129"/>
      <c r="E101" s="129"/>
      <c r="F101" s="129"/>
      <c r="G101" s="129"/>
      <c r="H101" s="129"/>
      <c r="I101" s="129"/>
      <c r="J101" s="129"/>
    </row>
    <row r="102" spans="1:10" ht="15" customHeight="1" x14ac:dyDescent="0.2">
      <c r="A102" s="183" t="s">
        <v>415</v>
      </c>
      <c r="B102" s="183"/>
      <c r="C102" s="183"/>
      <c r="D102" s="183"/>
      <c r="E102" s="183"/>
      <c r="F102" s="183"/>
      <c r="G102" s="183"/>
      <c r="H102" s="183"/>
      <c r="I102" s="183"/>
      <c r="J102" s="183"/>
    </row>
    <row r="103" spans="1:10" ht="15" customHeight="1" x14ac:dyDescent="0.2">
      <c r="A103" s="129"/>
      <c r="B103" s="129"/>
      <c r="C103" s="129"/>
      <c r="D103" s="129"/>
      <c r="E103" s="129"/>
      <c r="F103" s="129"/>
      <c r="G103" s="129"/>
      <c r="H103" s="129"/>
      <c r="I103" s="129"/>
      <c r="J103" s="129"/>
    </row>
    <row r="104" spans="1:10" ht="15" customHeight="1" x14ac:dyDescent="0.2">
      <c r="A104" s="129"/>
      <c r="B104" s="129"/>
      <c r="C104" s="129"/>
      <c r="D104" s="129"/>
      <c r="E104" s="129"/>
      <c r="F104" s="129"/>
      <c r="G104" s="129"/>
      <c r="H104" s="129"/>
      <c r="I104" s="129"/>
      <c r="J104" s="129"/>
    </row>
    <row r="105" spans="1:10" ht="15" customHeight="1" x14ac:dyDescent="0.2">
      <c r="A105" s="129"/>
      <c r="B105" s="129"/>
      <c r="C105" s="129"/>
      <c r="D105" s="129"/>
      <c r="E105" s="129"/>
      <c r="F105" s="129"/>
      <c r="G105" s="129"/>
      <c r="H105" s="129"/>
      <c r="I105" s="129"/>
      <c r="J105" s="129"/>
    </row>
    <row r="106" spans="1:10" ht="15" customHeight="1" x14ac:dyDescent="0.2">
      <c r="A106" s="129"/>
      <c r="B106" s="129"/>
      <c r="C106" s="129"/>
      <c r="D106" s="129"/>
      <c r="E106" s="129"/>
      <c r="F106" s="129"/>
      <c r="G106" s="129"/>
      <c r="H106" s="129"/>
      <c r="I106" s="129"/>
      <c r="J106" s="129"/>
    </row>
    <row r="107" spans="1:10" ht="22.5" customHeight="1" x14ac:dyDescent="0.2">
      <c r="A107" s="180" t="s">
        <v>315</v>
      </c>
      <c r="B107" s="180"/>
      <c r="C107" s="180"/>
      <c r="D107" s="180"/>
      <c r="E107" s="180"/>
      <c r="F107" s="184" t="s">
        <v>2995</v>
      </c>
      <c r="G107" s="184" t="s">
        <v>2996</v>
      </c>
      <c r="H107" s="184" t="s">
        <v>2997</v>
      </c>
      <c r="I107" s="184" t="s">
        <v>2998</v>
      </c>
      <c r="J107" s="184" t="s">
        <v>2999</v>
      </c>
    </row>
    <row r="108" spans="1:10" ht="15" customHeight="1" x14ac:dyDescent="0.2">
      <c r="A108" s="180" t="s">
        <v>316</v>
      </c>
      <c r="B108" s="180"/>
      <c r="C108" s="180"/>
      <c r="D108" s="180"/>
      <c r="E108" s="180"/>
      <c r="F108" s="180"/>
      <c r="G108" s="180"/>
      <c r="H108" s="180"/>
      <c r="I108" s="180"/>
      <c r="J108" s="180"/>
    </row>
    <row r="109" spans="1:10" x14ac:dyDescent="0.2">
      <c r="A109" s="269" t="s">
        <v>416</v>
      </c>
      <c r="B109" s="269"/>
      <c r="C109" s="269"/>
      <c r="D109" s="269"/>
      <c r="E109" s="269"/>
      <c r="F109" s="270">
        <v>0.85</v>
      </c>
      <c r="G109" s="271">
        <v>0.85</v>
      </c>
      <c r="H109" s="271">
        <v>0.9</v>
      </c>
      <c r="I109" s="271">
        <v>0.9</v>
      </c>
      <c r="J109" s="271">
        <v>0.9</v>
      </c>
    </row>
    <row r="110" spans="1:10" ht="23.25" customHeight="1" x14ac:dyDescent="0.2">
      <c r="A110" s="269" t="s">
        <v>417</v>
      </c>
      <c r="B110" s="269"/>
      <c r="C110" s="269"/>
      <c r="D110" s="269"/>
      <c r="E110" s="269"/>
      <c r="F110" s="272">
        <v>2</v>
      </c>
      <c r="G110" s="191">
        <v>5</v>
      </c>
      <c r="H110" s="191">
        <v>5</v>
      </c>
      <c r="I110" s="191">
        <v>4</v>
      </c>
      <c r="J110" s="191">
        <v>4</v>
      </c>
    </row>
    <row r="111" spans="1:10" ht="15" customHeight="1" x14ac:dyDescent="0.2">
      <c r="A111" s="188"/>
      <c r="B111" s="188"/>
      <c r="C111" s="188"/>
      <c r="D111" s="188"/>
      <c r="E111" s="188"/>
      <c r="F111" s="273"/>
      <c r="G111" s="190"/>
      <c r="H111" s="190"/>
      <c r="I111" s="190"/>
      <c r="J111" s="190"/>
    </row>
    <row r="112" spans="1:10" ht="23.25" customHeight="1" x14ac:dyDescent="0.2">
      <c r="A112" s="180" t="s">
        <v>324</v>
      </c>
      <c r="B112" s="180"/>
      <c r="C112" s="180"/>
      <c r="D112" s="180"/>
      <c r="E112" s="180"/>
      <c r="F112" s="180"/>
      <c r="G112" s="180"/>
      <c r="H112" s="180"/>
      <c r="I112" s="180"/>
      <c r="J112" s="180"/>
    </row>
    <row r="113" spans="1:10" ht="22.5" customHeight="1" x14ac:dyDescent="0.2">
      <c r="A113" s="269" t="s">
        <v>418</v>
      </c>
      <c r="B113" s="269"/>
      <c r="C113" s="269"/>
      <c r="D113" s="269"/>
      <c r="E113" s="269"/>
      <c r="F113" s="272"/>
      <c r="G113" s="191" t="s">
        <v>419</v>
      </c>
      <c r="H113" s="191" t="s">
        <v>420</v>
      </c>
      <c r="I113" s="191" t="s">
        <v>420</v>
      </c>
      <c r="J113" s="191" t="s">
        <v>420</v>
      </c>
    </row>
    <row r="114" spans="1:10" ht="22.5" customHeight="1" x14ac:dyDescent="0.2">
      <c r="A114" s="269" t="s">
        <v>421</v>
      </c>
      <c r="B114" s="269"/>
      <c r="C114" s="269"/>
      <c r="D114" s="269"/>
      <c r="E114" s="269"/>
      <c r="F114" s="270">
        <v>0</v>
      </c>
      <c r="G114" s="271">
        <v>0.85</v>
      </c>
      <c r="H114" s="271">
        <v>0.9</v>
      </c>
      <c r="I114" s="271">
        <v>0.9</v>
      </c>
      <c r="J114" s="271">
        <v>0.9</v>
      </c>
    </row>
    <row r="115" spans="1:10" ht="15" customHeight="1" x14ac:dyDescent="0.2">
      <c r="A115" s="129"/>
      <c r="B115" s="129"/>
      <c r="C115" s="129"/>
      <c r="D115" s="129"/>
      <c r="E115" s="129"/>
      <c r="F115" s="129"/>
      <c r="G115" s="129"/>
      <c r="H115" s="129"/>
      <c r="I115" s="129"/>
      <c r="J115" s="129"/>
    </row>
    <row r="116" spans="1:10" ht="15" customHeight="1" x14ac:dyDescent="0.2"/>
    <row r="117" spans="1:10" x14ac:dyDescent="0.2">
      <c r="A117" s="222"/>
      <c r="B117" s="222"/>
      <c r="C117" s="222"/>
      <c r="D117" s="222"/>
      <c r="E117" s="274" t="s">
        <v>382</v>
      </c>
      <c r="F117" s="229"/>
      <c r="G117" s="222"/>
      <c r="H117" s="222"/>
      <c r="I117" s="222"/>
      <c r="J117" s="223" t="s">
        <v>383</v>
      </c>
    </row>
    <row r="118" spans="1:10" ht="34.5" thickBot="1" x14ac:dyDescent="0.25">
      <c r="A118" s="224"/>
      <c r="B118" s="224" t="s">
        <v>188</v>
      </c>
      <c r="C118" s="225"/>
      <c r="D118" s="226"/>
      <c r="E118" s="184" t="str">
        <f t="shared" ref="E118:J118" si="19">E22</f>
        <v>Actuals           2014-2015</v>
      </c>
      <c r="F118" s="184" t="str">
        <f t="shared" si="19"/>
        <v>Approved Estimates          2015-2016</v>
      </c>
      <c r="G118" s="184" t="str">
        <f t="shared" si="19"/>
        <v>Revised Estimates                 2015-2016</v>
      </c>
      <c r="H118" s="184" t="str">
        <f t="shared" si="19"/>
        <v>Budget Estimates      2016-2017</v>
      </c>
      <c r="I118" s="184" t="str">
        <f t="shared" si="19"/>
        <v>Forward Estimates     2017-2018</v>
      </c>
      <c r="J118" s="184" t="str">
        <f t="shared" si="19"/>
        <v>Forward Estimates     2018-2019</v>
      </c>
    </row>
    <row r="119" spans="1:10" ht="16.5" customHeight="1" x14ac:dyDescent="0.2">
      <c r="A119" s="227"/>
      <c r="B119" s="227"/>
      <c r="C119" s="227"/>
      <c r="D119" s="227"/>
      <c r="E119" s="227"/>
      <c r="F119" s="227"/>
      <c r="G119" s="227"/>
      <c r="H119" s="227"/>
      <c r="I119" s="228"/>
      <c r="J119" s="227"/>
    </row>
    <row r="120" spans="1:10" x14ac:dyDescent="0.2">
      <c r="A120" s="229" t="s">
        <v>7</v>
      </c>
      <c r="B120" s="229"/>
      <c r="C120" s="229"/>
      <c r="D120" s="229"/>
      <c r="E120" s="222"/>
      <c r="F120" s="230"/>
      <c r="G120" s="230"/>
      <c r="H120" s="230"/>
      <c r="I120" s="222"/>
      <c r="J120" s="222"/>
    </row>
    <row r="121" spans="1:10" x14ac:dyDescent="0.2">
      <c r="A121" s="222"/>
      <c r="B121" s="222" t="s">
        <v>422</v>
      </c>
      <c r="C121" s="222"/>
      <c r="D121" s="222"/>
      <c r="E121" s="231">
        <f t="shared" ref="E121:J121" si="20">E60</f>
        <v>784287.17</v>
      </c>
      <c r="F121" s="231">
        <f t="shared" si="20"/>
        <v>818200</v>
      </c>
      <c r="G121" s="231">
        <f t="shared" si="20"/>
        <v>790100</v>
      </c>
      <c r="H121" s="231">
        <f t="shared" si="20"/>
        <v>855400</v>
      </c>
      <c r="I121" s="231">
        <f t="shared" si="20"/>
        <v>865800</v>
      </c>
      <c r="J121" s="231">
        <f t="shared" si="20"/>
        <v>876300</v>
      </c>
    </row>
    <row r="122" spans="1:10" x14ac:dyDescent="0.2">
      <c r="A122" s="222"/>
      <c r="B122" s="222"/>
      <c r="C122" s="229" t="s">
        <v>385</v>
      </c>
      <c r="D122" s="235"/>
      <c r="E122" s="236">
        <f t="shared" ref="E122:J122" si="21">SUM(E121:E121)</f>
        <v>784287.17</v>
      </c>
      <c r="F122" s="236">
        <f t="shared" si="21"/>
        <v>818200</v>
      </c>
      <c r="G122" s="236">
        <f t="shared" si="21"/>
        <v>790100</v>
      </c>
      <c r="H122" s="236">
        <f t="shared" si="21"/>
        <v>855400</v>
      </c>
      <c r="I122" s="236">
        <f t="shared" si="21"/>
        <v>865800</v>
      </c>
      <c r="J122" s="236">
        <f t="shared" si="21"/>
        <v>876300</v>
      </c>
    </row>
    <row r="123" spans="1:10" ht="13.5" customHeight="1" thickBot="1" x14ac:dyDescent="0.25">
      <c r="A123" s="222"/>
      <c r="B123" s="222"/>
      <c r="C123" s="229"/>
      <c r="D123" s="235"/>
      <c r="E123" s="275"/>
      <c r="F123" s="275"/>
      <c r="G123" s="275"/>
      <c r="H123" s="275"/>
      <c r="I123" s="275"/>
      <c r="J123" s="275"/>
    </row>
    <row r="124" spans="1:10" x14ac:dyDescent="0.2">
      <c r="A124" s="237" t="s">
        <v>196</v>
      </c>
      <c r="B124" s="237"/>
      <c r="C124" s="233"/>
      <c r="D124" s="238"/>
      <c r="E124" s="242"/>
      <c r="F124" s="242"/>
      <c r="G124" s="242"/>
      <c r="H124" s="227"/>
      <c r="I124" s="227"/>
      <c r="J124" s="227"/>
    </row>
    <row r="125" spans="1:10" x14ac:dyDescent="0.2">
      <c r="A125" s="222"/>
      <c r="B125" s="222" t="s">
        <v>422</v>
      </c>
      <c r="C125" s="222"/>
      <c r="D125" s="238"/>
      <c r="E125" s="231">
        <f t="shared" ref="E125:J125" si="22">E61</f>
        <v>0</v>
      </c>
      <c r="F125" s="231">
        <f t="shared" si="22"/>
        <v>0</v>
      </c>
      <c r="G125" s="231">
        <f t="shared" si="22"/>
        <v>0</v>
      </c>
      <c r="H125" s="231">
        <f t="shared" si="22"/>
        <v>0</v>
      </c>
      <c r="I125" s="231">
        <f t="shared" si="22"/>
        <v>0</v>
      </c>
      <c r="J125" s="231">
        <f t="shared" si="22"/>
        <v>0</v>
      </c>
    </row>
    <row r="126" spans="1:10" x14ac:dyDescent="0.2">
      <c r="A126" s="229"/>
      <c r="B126" s="229"/>
      <c r="C126" s="229" t="s">
        <v>386</v>
      </c>
      <c r="D126" s="239"/>
      <c r="E126" s="236">
        <f t="shared" ref="E126:J126" si="23">SUM(E125:E125)</f>
        <v>0</v>
      </c>
      <c r="F126" s="236">
        <f t="shared" si="23"/>
        <v>0</v>
      </c>
      <c r="G126" s="236">
        <f t="shared" si="23"/>
        <v>0</v>
      </c>
      <c r="H126" s="236">
        <f t="shared" si="23"/>
        <v>0</v>
      </c>
      <c r="I126" s="236">
        <f t="shared" si="23"/>
        <v>0</v>
      </c>
      <c r="J126" s="236">
        <f t="shared" si="23"/>
        <v>0</v>
      </c>
    </row>
    <row r="127" spans="1:10" ht="15" thickBot="1" x14ac:dyDescent="0.25">
      <c r="A127" s="229"/>
      <c r="B127" s="229"/>
      <c r="C127" s="229"/>
      <c r="D127" s="239"/>
      <c r="E127" s="275"/>
      <c r="F127" s="275"/>
      <c r="G127" s="275"/>
      <c r="H127" s="275"/>
      <c r="I127" s="275"/>
      <c r="J127" s="275"/>
    </row>
    <row r="128" spans="1:10" x14ac:dyDescent="0.2">
      <c r="A128" s="229" t="s">
        <v>387</v>
      </c>
      <c r="B128" s="222"/>
      <c r="C128" s="222"/>
      <c r="D128" s="240"/>
      <c r="E128" s="241"/>
      <c r="F128" s="241"/>
      <c r="G128" s="241"/>
      <c r="H128" s="241"/>
      <c r="I128" s="241"/>
      <c r="J128" s="241"/>
    </row>
    <row r="129" spans="1:10" x14ac:dyDescent="0.2">
      <c r="A129" s="222"/>
      <c r="B129" s="222" t="s">
        <v>422</v>
      </c>
      <c r="C129" s="222"/>
      <c r="D129" s="238"/>
      <c r="E129" s="231">
        <f t="shared" ref="E129:J129" si="24">E62</f>
        <v>454505.56</v>
      </c>
      <c r="F129" s="231">
        <f t="shared" si="24"/>
        <v>590900</v>
      </c>
      <c r="G129" s="231">
        <f t="shared" si="24"/>
        <v>481100</v>
      </c>
      <c r="H129" s="231">
        <f t="shared" si="24"/>
        <v>614900</v>
      </c>
      <c r="I129" s="231">
        <f t="shared" si="24"/>
        <v>614900</v>
      </c>
      <c r="J129" s="231">
        <f t="shared" si="24"/>
        <v>611900</v>
      </c>
    </row>
    <row r="130" spans="1:10" ht="15" thickBot="1" x14ac:dyDescent="0.25">
      <c r="A130" s="222"/>
      <c r="B130" s="222"/>
      <c r="C130" s="229" t="s">
        <v>388</v>
      </c>
      <c r="D130" s="240"/>
      <c r="E130" s="236">
        <f t="shared" ref="E130:J130" si="25">SUM(E129:E129)</f>
        <v>454505.56</v>
      </c>
      <c r="F130" s="236">
        <f t="shared" si="25"/>
        <v>590900</v>
      </c>
      <c r="G130" s="236">
        <f t="shared" si="25"/>
        <v>481100</v>
      </c>
      <c r="H130" s="236">
        <f t="shared" si="25"/>
        <v>614900</v>
      </c>
      <c r="I130" s="236">
        <f t="shared" si="25"/>
        <v>614900</v>
      </c>
      <c r="J130" s="236">
        <f t="shared" si="25"/>
        <v>611900</v>
      </c>
    </row>
    <row r="131" spans="1:10" x14ac:dyDescent="0.2">
      <c r="A131" s="240"/>
      <c r="B131" s="229"/>
      <c r="C131" s="222"/>
      <c r="D131" s="240"/>
      <c r="E131" s="242"/>
      <c r="F131" s="242"/>
      <c r="G131" s="242"/>
      <c r="H131" s="242"/>
      <c r="I131" s="242"/>
      <c r="J131" s="242"/>
    </row>
    <row r="132" spans="1:10" x14ac:dyDescent="0.2">
      <c r="A132" s="229" t="s">
        <v>198</v>
      </c>
      <c r="B132" s="222"/>
      <c r="C132" s="222"/>
      <c r="D132" s="240"/>
      <c r="E132" s="230"/>
      <c r="F132" s="230"/>
      <c r="G132" s="230"/>
      <c r="H132" s="230"/>
      <c r="I132" s="230"/>
      <c r="J132" s="230"/>
    </row>
    <row r="133" spans="1:10" x14ac:dyDescent="0.2">
      <c r="A133" s="222"/>
      <c r="B133" s="222" t="s">
        <v>422</v>
      </c>
      <c r="C133" s="222"/>
      <c r="D133" s="240"/>
      <c r="E133" s="231">
        <f t="shared" ref="E133:J133" si="26">E63</f>
        <v>0</v>
      </c>
      <c r="F133" s="231">
        <f t="shared" si="26"/>
        <v>18800</v>
      </c>
      <c r="G133" s="231">
        <f t="shared" si="26"/>
        <v>18800</v>
      </c>
      <c r="H133" s="231">
        <f t="shared" si="26"/>
        <v>0</v>
      </c>
      <c r="I133" s="231">
        <f t="shared" si="26"/>
        <v>18800</v>
      </c>
      <c r="J133" s="231">
        <f t="shared" si="26"/>
        <v>0</v>
      </c>
    </row>
    <row r="134" spans="1:10" ht="15" thickBot="1" x14ac:dyDescent="0.25">
      <c r="A134" s="222"/>
      <c r="B134" s="222"/>
      <c r="C134" s="229" t="s">
        <v>389</v>
      </c>
      <c r="D134" s="240"/>
      <c r="E134" s="236">
        <f t="shared" ref="E134:J134" si="27">SUM(E133:E133)</f>
        <v>0</v>
      </c>
      <c r="F134" s="236">
        <f t="shared" si="27"/>
        <v>18800</v>
      </c>
      <c r="G134" s="236">
        <f t="shared" si="27"/>
        <v>18800</v>
      </c>
      <c r="H134" s="236">
        <f t="shared" si="27"/>
        <v>0</v>
      </c>
      <c r="I134" s="236">
        <f t="shared" si="27"/>
        <v>18800</v>
      </c>
      <c r="J134" s="236">
        <f t="shared" si="27"/>
        <v>0</v>
      </c>
    </row>
    <row r="135" spans="1:10" x14ac:dyDescent="0.2">
      <c r="A135" s="240"/>
      <c r="B135" s="229"/>
      <c r="C135" s="222"/>
      <c r="D135" s="240"/>
      <c r="E135" s="242"/>
      <c r="F135" s="242"/>
      <c r="G135" s="242"/>
      <c r="H135" s="242"/>
      <c r="I135" s="242"/>
      <c r="J135" s="242"/>
    </row>
    <row r="136" spans="1:10" x14ac:dyDescent="0.2">
      <c r="A136" s="243" t="s">
        <v>296</v>
      </c>
      <c r="B136" s="229"/>
      <c r="C136" s="222"/>
      <c r="D136" s="240"/>
      <c r="E136" s="230"/>
      <c r="F136" s="230"/>
      <c r="G136" s="230"/>
      <c r="H136" s="230"/>
      <c r="I136" s="230"/>
      <c r="J136" s="230"/>
    </row>
    <row r="137" spans="1:10" x14ac:dyDescent="0.2">
      <c r="A137" s="233"/>
      <c r="B137" s="233" t="s">
        <v>422</v>
      </c>
      <c r="C137" s="222"/>
      <c r="D137" s="240"/>
      <c r="E137" s="231">
        <f t="shared" ref="E137:J137" si="28">E76</f>
        <v>416323.85000000003</v>
      </c>
      <c r="F137" s="231">
        <f t="shared" si="28"/>
        <v>254800</v>
      </c>
      <c r="G137" s="231">
        <f t="shared" si="28"/>
        <v>261800</v>
      </c>
      <c r="H137" s="231">
        <f t="shared" si="28"/>
        <v>268800</v>
      </c>
      <c r="I137" s="231">
        <f t="shared" si="28"/>
        <v>268800</v>
      </c>
      <c r="J137" s="231">
        <f t="shared" si="28"/>
        <v>268800</v>
      </c>
    </row>
    <row r="138" spans="1:10" ht="15" thickBot="1" x14ac:dyDescent="0.25">
      <c r="A138" s="222"/>
      <c r="B138" s="222"/>
      <c r="C138" s="222" t="s">
        <v>390</v>
      </c>
      <c r="D138" s="235"/>
      <c r="E138" s="236">
        <f t="shared" ref="E138:J138" si="29">SUM(E137:E137)</f>
        <v>416323.85000000003</v>
      </c>
      <c r="F138" s="236">
        <f t="shared" si="29"/>
        <v>254800</v>
      </c>
      <c r="G138" s="236">
        <f t="shared" si="29"/>
        <v>261800</v>
      </c>
      <c r="H138" s="236">
        <f t="shared" si="29"/>
        <v>268800</v>
      </c>
      <c r="I138" s="236">
        <f t="shared" si="29"/>
        <v>268800</v>
      </c>
      <c r="J138" s="236">
        <f t="shared" si="29"/>
        <v>268800</v>
      </c>
    </row>
    <row r="139" spans="1:10" x14ac:dyDescent="0.2">
      <c r="A139" s="222"/>
      <c r="B139" s="222"/>
      <c r="C139" s="222"/>
      <c r="D139" s="240"/>
      <c r="E139" s="242"/>
      <c r="F139" s="242"/>
      <c r="G139" s="242"/>
      <c r="H139" s="227"/>
      <c r="I139" s="227"/>
      <c r="J139" s="227"/>
    </row>
    <row r="140" spans="1:10" x14ac:dyDescent="0.2">
      <c r="A140" s="244" t="s">
        <v>15</v>
      </c>
      <c r="B140" s="222"/>
      <c r="C140" s="222"/>
      <c r="D140" s="222"/>
      <c r="E140" s="222"/>
      <c r="F140" s="222"/>
      <c r="G140" s="222"/>
      <c r="H140" s="222"/>
      <c r="I140" s="222"/>
      <c r="J140" s="222"/>
    </row>
    <row r="141" spans="1:10" x14ac:dyDescent="0.2">
      <c r="A141" s="233"/>
      <c r="B141" s="233" t="s">
        <v>422</v>
      </c>
      <c r="C141" s="233"/>
      <c r="D141" s="222"/>
      <c r="E141" s="231">
        <f t="shared" ref="E141:J141" si="30">E83</f>
        <v>0</v>
      </c>
      <c r="F141" s="231">
        <f t="shared" si="30"/>
        <v>0</v>
      </c>
      <c r="G141" s="231">
        <f t="shared" si="30"/>
        <v>0</v>
      </c>
      <c r="H141" s="231">
        <f t="shared" si="30"/>
        <v>0</v>
      </c>
      <c r="I141" s="231">
        <f t="shared" si="30"/>
        <v>0</v>
      </c>
      <c r="J141" s="231">
        <f t="shared" si="30"/>
        <v>0</v>
      </c>
    </row>
    <row r="142" spans="1:10" ht="15" thickBot="1" x14ac:dyDescent="0.25">
      <c r="A142" s="243"/>
      <c r="B142" s="243" t="s">
        <v>69</v>
      </c>
      <c r="C142" s="240"/>
      <c r="D142" s="222"/>
      <c r="E142" s="236">
        <f t="shared" ref="E142:J142" si="31">SUM(E141:E141)</f>
        <v>0</v>
      </c>
      <c r="F142" s="236">
        <f t="shared" si="31"/>
        <v>0</v>
      </c>
      <c r="G142" s="236">
        <f t="shared" si="31"/>
        <v>0</v>
      </c>
      <c r="H142" s="236">
        <f t="shared" si="31"/>
        <v>0</v>
      </c>
      <c r="I142" s="236">
        <f t="shared" si="31"/>
        <v>0</v>
      </c>
      <c r="J142" s="236">
        <f t="shared" si="31"/>
        <v>0</v>
      </c>
    </row>
    <row r="143" spans="1:10" x14ac:dyDescent="0.2">
      <c r="A143" s="222"/>
      <c r="B143" s="222"/>
      <c r="C143" s="222"/>
      <c r="D143" s="222"/>
      <c r="E143" s="242"/>
      <c r="F143" s="242"/>
      <c r="G143" s="242"/>
      <c r="H143" s="227"/>
      <c r="I143" s="227"/>
      <c r="J143" s="227"/>
    </row>
    <row r="144" spans="1:10" ht="15" thickBot="1" x14ac:dyDescent="0.25">
      <c r="A144" s="222"/>
      <c r="B144" s="222"/>
      <c r="C144" s="222"/>
      <c r="D144" s="222"/>
      <c r="E144" s="240"/>
      <c r="F144" s="276" t="s">
        <v>391</v>
      </c>
      <c r="G144" s="240"/>
      <c r="H144" s="240"/>
      <c r="I144" s="245"/>
      <c r="J144" s="245"/>
    </row>
    <row r="145" spans="1:10" ht="7.5" customHeight="1" thickTop="1" x14ac:dyDescent="0.2">
      <c r="A145" s="246"/>
      <c r="B145" s="246"/>
      <c r="C145" s="246"/>
      <c r="D145" s="246"/>
      <c r="E145" s="246"/>
      <c r="F145" s="277"/>
      <c r="G145" s="246"/>
      <c r="H145" s="246"/>
      <c r="I145" s="246"/>
      <c r="J145" s="246"/>
    </row>
    <row r="146" spans="1:10" x14ac:dyDescent="0.2">
      <c r="A146" s="247"/>
      <c r="B146" s="247">
        <v>210</v>
      </c>
      <c r="C146" s="222" t="s">
        <v>7</v>
      </c>
      <c r="D146" s="222"/>
      <c r="E146" s="278">
        <f t="shared" ref="E146:J161" si="32">SUMIF($A$43:$A$973,$B146,E$43:E$973)</f>
        <v>784287.17</v>
      </c>
      <c r="F146" s="278">
        <f t="shared" si="32"/>
        <v>818200</v>
      </c>
      <c r="G146" s="278">
        <f t="shared" si="32"/>
        <v>790100</v>
      </c>
      <c r="H146" s="278">
        <f t="shared" si="32"/>
        <v>855400</v>
      </c>
      <c r="I146" s="278">
        <f t="shared" si="32"/>
        <v>865800</v>
      </c>
      <c r="J146" s="278">
        <f t="shared" si="32"/>
        <v>876300</v>
      </c>
    </row>
    <row r="147" spans="1:10" x14ac:dyDescent="0.2">
      <c r="A147" s="247"/>
      <c r="B147" s="247">
        <v>212</v>
      </c>
      <c r="C147" s="222" t="s">
        <v>9</v>
      </c>
      <c r="D147" s="222"/>
      <c r="E147" s="231">
        <f t="shared" si="32"/>
        <v>0</v>
      </c>
      <c r="F147" s="231">
        <f t="shared" si="32"/>
        <v>0</v>
      </c>
      <c r="G147" s="231">
        <f t="shared" si="32"/>
        <v>0</v>
      </c>
      <c r="H147" s="231">
        <f t="shared" si="32"/>
        <v>0</v>
      </c>
      <c r="I147" s="231">
        <f t="shared" si="32"/>
        <v>0</v>
      </c>
      <c r="J147" s="231">
        <f t="shared" si="32"/>
        <v>0</v>
      </c>
    </row>
    <row r="148" spans="1:10" x14ac:dyDescent="0.2">
      <c r="A148" s="247"/>
      <c r="B148" s="247">
        <v>213</v>
      </c>
      <c r="C148" s="222" t="s">
        <v>201</v>
      </c>
      <c r="D148" s="222"/>
      <c r="E148" s="231">
        <f t="shared" si="32"/>
        <v>0</v>
      </c>
      <c r="F148" s="231">
        <f t="shared" si="32"/>
        <v>0</v>
      </c>
      <c r="G148" s="231">
        <f t="shared" si="32"/>
        <v>0</v>
      </c>
      <c r="H148" s="231">
        <f t="shared" si="32"/>
        <v>0</v>
      </c>
      <c r="I148" s="231">
        <f t="shared" si="32"/>
        <v>0</v>
      </c>
      <c r="J148" s="231">
        <f t="shared" si="32"/>
        <v>0</v>
      </c>
    </row>
    <row r="149" spans="1:10" x14ac:dyDescent="0.2">
      <c r="A149" s="247"/>
      <c r="B149" s="247">
        <v>216</v>
      </c>
      <c r="C149" s="222" t="s">
        <v>10</v>
      </c>
      <c r="D149" s="222"/>
      <c r="E149" s="231">
        <f t="shared" si="32"/>
        <v>454505.56</v>
      </c>
      <c r="F149" s="231">
        <f t="shared" si="32"/>
        <v>590900</v>
      </c>
      <c r="G149" s="231">
        <f t="shared" si="32"/>
        <v>481100</v>
      </c>
      <c r="H149" s="231">
        <f t="shared" si="32"/>
        <v>614900</v>
      </c>
      <c r="I149" s="231">
        <f t="shared" si="32"/>
        <v>614900</v>
      </c>
      <c r="J149" s="231">
        <f t="shared" si="32"/>
        <v>611900</v>
      </c>
    </row>
    <row r="150" spans="1:10" x14ac:dyDescent="0.2">
      <c r="A150" s="247"/>
      <c r="B150" s="247">
        <v>218</v>
      </c>
      <c r="C150" s="222" t="s">
        <v>202</v>
      </c>
      <c r="D150" s="222"/>
      <c r="E150" s="231">
        <f t="shared" si="32"/>
        <v>0</v>
      </c>
      <c r="F150" s="231">
        <f t="shared" si="32"/>
        <v>18800</v>
      </c>
      <c r="G150" s="231">
        <f t="shared" si="32"/>
        <v>18800</v>
      </c>
      <c r="H150" s="231">
        <f t="shared" si="32"/>
        <v>0</v>
      </c>
      <c r="I150" s="231">
        <f t="shared" si="32"/>
        <v>18800</v>
      </c>
      <c r="J150" s="231">
        <f t="shared" si="32"/>
        <v>0</v>
      </c>
    </row>
    <row r="151" spans="1:10" x14ac:dyDescent="0.2">
      <c r="A151" s="247"/>
      <c r="B151" s="247">
        <v>219</v>
      </c>
      <c r="C151" s="222" t="s">
        <v>203</v>
      </c>
      <c r="D151" s="222"/>
      <c r="E151" s="231">
        <f t="shared" si="32"/>
        <v>0</v>
      </c>
      <c r="F151" s="231">
        <f t="shared" si="32"/>
        <v>0</v>
      </c>
      <c r="G151" s="231">
        <f t="shared" si="32"/>
        <v>0</v>
      </c>
      <c r="H151" s="231">
        <f t="shared" si="32"/>
        <v>0</v>
      </c>
      <c r="I151" s="231">
        <f t="shared" si="32"/>
        <v>0</v>
      </c>
      <c r="J151" s="231">
        <f t="shared" si="32"/>
        <v>0</v>
      </c>
    </row>
    <row r="152" spans="1:10" x14ac:dyDescent="0.2">
      <c r="A152" s="247"/>
      <c r="B152" s="247">
        <v>220</v>
      </c>
      <c r="C152" s="222" t="s">
        <v>204</v>
      </c>
      <c r="D152" s="222"/>
      <c r="E152" s="231">
        <f t="shared" si="32"/>
        <v>0</v>
      </c>
      <c r="F152" s="231">
        <f t="shared" si="32"/>
        <v>0</v>
      </c>
      <c r="G152" s="231">
        <f t="shared" si="32"/>
        <v>0</v>
      </c>
      <c r="H152" s="231">
        <f t="shared" si="32"/>
        <v>0</v>
      </c>
      <c r="I152" s="231">
        <f t="shared" si="32"/>
        <v>0</v>
      </c>
      <c r="J152" s="231">
        <f t="shared" si="32"/>
        <v>0</v>
      </c>
    </row>
    <row r="153" spans="1:10" x14ac:dyDescent="0.2">
      <c r="A153" s="247"/>
      <c r="B153" s="247">
        <v>222</v>
      </c>
      <c r="C153" s="222" t="s">
        <v>205</v>
      </c>
      <c r="D153" s="222"/>
      <c r="E153" s="231">
        <f t="shared" si="32"/>
        <v>39823.949999999997</v>
      </c>
      <c r="F153" s="231">
        <f t="shared" si="32"/>
        <v>65000</v>
      </c>
      <c r="G153" s="231">
        <f t="shared" si="32"/>
        <v>65000</v>
      </c>
      <c r="H153" s="231">
        <f t="shared" si="32"/>
        <v>50000</v>
      </c>
      <c r="I153" s="231">
        <f t="shared" si="32"/>
        <v>50000</v>
      </c>
      <c r="J153" s="231">
        <f t="shared" si="32"/>
        <v>50000</v>
      </c>
    </row>
    <row r="154" spans="1:10" x14ac:dyDescent="0.2">
      <c r="A154" s="247"/>
      <c r="B154" s="247">
        <v>224</v>
      </c>
      <c r="C154" s="222" t="s">
        <v>206</v>
      </c>
      <c r="D154" s="222"/>
      <c r="E154" s="231">
        <f t="shared" si="32"/>
        <v>18988.7</v>
      </c>
      <c r="F154" s="231">
        <f t="shared" si="32"/>
        <v>27000</v>
      </c>
      <c r="G154" s="231">
        <f t="shared" si="32"/>
        <v>27000</v>
      </c>
      <c r="H154" s="231">
        <f t="shared" si="32"/>
        <v>22000</v>
      </c>
      <c r="I154" s="231">
        <f t="shared" si="32"/>
        <v>22000</v>
      </c>
      <c r="J154" s="231">
        <f t="shared" si="32"/>
        <v>22000</v>
      </c>
    </row>
    <row r="155" spans="1:10" x14ac:dyDescent="0.2">
      <c r="A155" s="247"/>
      <c r="B155" s="247">
        <v>226</v>
      </c>
      <c r="C155" s="222" t="s">
        <v>207</v>
      </c>
      <c r="D155" s="222"/>
      <c r="E155" s="231">
        <f t="shared" si="32"/>
        <v>10633.04</v>
      </c>
      <c r="F155" s="231">
        <f t="shared" si="32"/>
        <v>13000</v>
      </c>
      <c r="G155" s="231">
        <f t="shared" si="32"/>
        <v>15000</v>
      </c>
      <c r="H155" s="231">
        <f t="shared" si="32"/>
        <v>17000</v>
      </c>
      <c r="I155" s="231">
        <f t="shared" si="32"/>
        <v>17000</v>
      </c>
      <c r="J155" s="231">
        <f t="shared" si="32"/>
        <v>17000</v>
      </c>
    </row>
    <row r="156" spans="1:10" x14ac:dyDescent="0.2">
      <c r="A156" s="247"/>
      <c r="B156" s="247">
        <v>228</v>
      </c>
      <c r="C156" s="222" t="s">
        <v>208</v>
      </c>
      <c r="D156" s="222"/>
      <c r="E156" s="231">
        <f t="shared" si="32"/>
        <v>16837.509999999998</v>
      </c>
      <c r="F156" s="231">
        <f t="shared" si="32"/>
        <v>20000</v>
      </c>
      <c r="G156" s="231">
        <f t="shared" si="32"/>
        <v>20000</v>
      </c>
      <c r="H156" s="231">
        <f t="shared" si="32"/>
        <v>20000</v>
      </c>
      <c r="I156" s="231">
        <f t="shared" si="32"/>
        <v>20000</v>
      </c>
      <c r="J156" s="231">
        <f t="shared" si="32"/>
        <v>20000</v>
      </c>
    </row>
    <row r="157" spans="1:10" x14ac:dyDescent="0.2">
      <c r="A157" s="247"/>
      <c r="B157" s="247">
        <v>229</v>
      </c>
      <c r="C157" s="222" t="s">
        <v>209</v>
      </c>
      <c r="D157" s="222"/>
      <c r="E157" s="231">
        <f t="shared" si="32"/>
        <v>0</v>
      </c>
      <c r="F157" s="231">
        <f t="shared" si="32"/>
        <v>0</v>
      </c>
      <c r="G157" s="231">
        <f t="shared" si="32"/>
        <v>0</v>
      </c>
      <c r="H157" s="231">
        <f t="shared" si="32"/>
        <v>0</v>
      </c>
      <c r="I157" s="231">
        <f t="shared" si="32"/>
        <v>0</v>
      </c>
      <c r="J157" s="231">
        <f t="shared" si="32"/>
        <v>0</v>
      </c>
    </row>
    <row r="158" spans="1:10" x14ac:dyDescent="0.2">
      <c r="A158" s="247"/>
      <c r="B158" s="247">
        <v>230</v>
      </c>
      <c r="C158" s="222" t="s">
        <v>210</v>
      </c>
      <c r="D158" s="222"/>
      <c r="E158" s="231">
        <f t="shared" si="32"/>
        <v>0</v>
      </c>
      <c r="F158" s="231">
        <f t="shared" si="32"/>
        <v>0</v>
      </c>
      <c r="G158" s="231">
        <f t="shared" si="32"/>
        <v>0</v>
      </c>
      <c r="H158" s="231">
        <f t="shared" si="32"/>
        <v>0</v>
      </c>
      <c r="I158" s="231">
        <f t="shared" si="32"/>
        <v>0</v>
      </c>
      <c r="J158" s="231">
        <f t="shared" si="32"/>
        <v>0</v>
      </c>
    </row>
    <row r="159" spans="1:10" x14ac:dyDescent="0.2">
      <c r="A159" s="247"/>
      <c r="B159" s="247">
        <v>232</v>
      </c>
      <c r="C159" s="222" t="s">
        <v>211</v>
      </c>
      <c r="D159" s="222"/>
      <c r="E159" s="231">
        <f t="shared" si="32"/>
        <v>4994.99</v>
      </c>
      <c r="F159" s="231">
        <f t="shared" si="32"/>
        <v>3300</v>
      </c>
      <c r="G159" s="231">
        <f t="shared" si="32"/>
        <v>3300</v>
      </c>
      <c r="H159" s="231">
        <f t="shared" si="32"/>
        <v>3300</v>
      </c>
      <c r="I159" s="231">
        <f t="shared" si="32"/>
        <v>3300</v>
      </c>
      <c r="J159" s="231">
        <f t="shared" si="32"/>
        <v>3300</v>
      </c>
    </row>
    <row r="160" spans="1:10" x14ac:dyDescent="0.2">
      <c r="A160" s="247"/>
      <c r="B160" s="247">
        <v>234</v>
      </c>
      <c r="C160" s="222" t="s">
        <v>212</v>
      </c>
      <c r="D160" s="222"/>
      <c r="E160" s="231">
        <f t="shared" si="32"/>
        <v>0</v>
      </c>
      <c r="F160" s="231">
        <f t="shared" si="32"/>
        <v>0</v>
      </c>
      <c r="G160" s="231">
        <f t="shared" si="32"/>
        <v>0</v>
      </c>
      <c r="H160" s="231">
        <f t="shared" si="32"/>
        <v>0</v>
      </c>
      <c r="I160" s="231">
        <f t="shared" si="32"/>
        <v>0</v>
      </c>
      <c r="J160" s="231">
        <f t="shared" si="32"/>
        <v>0</v>
      </c>
    </row>
    <row r="161" spans="1:10" x14ac:dyDescent="0.2">
      <c r="A161" s="247"/>
      <c r="B161" s="247">
        <v>236</v>
      </c>
      <c r="C161" s="222" t="s">
        <v>213</v>
      </c>
      <c r="D161" s="222"/>
      <c r="E161" s="231">
        <f t="shared" si="32"/>
        <v>269969.33</v>
      </c>
      <c r="F161" s="231">
        <f t="shared" si="32"/>
        <v>20000</v>
      </c>
      <c r="G161" s="231">
        <f t="shared" si="32"/>
        <v>20000</v>
      </c>
      <c r="H161" s="231">
        <f t="shared" si="32"/>
        <v>11000</v>
      </c>
      <c r="I161" s="231">
        <f t="shared" si="32"/>
        <v>11000</v>
      </c>
      <c r="J161" s="231">
        <f t="shared" si="32"/>
        <v>11000</v>
      </c>
    </row>
    <row r="162" spans="1:10" x14ac:dyDescent="0.2">
      <c r="A162" s="247"/>
      <c r="B162" s="247">
        <v>238</v>
      </c>
      <c r="C162" s="222" t="s">
        <v>214</v>
      </c>
      <c r="D162" s="222"/>
      <c r="E162" s="231">
        <f t="shared" ref="E162:J177" si="33">SUMIF($A$43:$A$973,$B162,E$43:E$973)</f>
        <v>0</v>
      </c>
      <c r="F162" s="231">
        <f t="shared" si="33"/>
        <v>0</v>
      </c>
      <c r="G162" s="231">
        <f t="shared" si="33"/>
        <v>0</v>
      </c>
      <c r="H162" s="231">
        <f t="shared" si="33"/>
        <v>0</v>
      </c>
      <c r="I162" s="231">
        <f t="shared" si="33"/>
        <v>0</v>
      </c>
      <c r="J162" s="231">
        <f t="shared" si="33"/>
        <v>0</v>
      </c>
    </row>
    <row r="163" spans="1:10" x14ac:dyDescent="0.2">
      <c r="A163" s="247"/>
      <c r="B163" s="247">
        <v>240</v>
      </c>
      <c r="C163" s="222" t="s">
        <v>215</v>
      </c>
      <c r="D163" s="222"/>
      <c r="E163" s="231">
        <f t="shared" si="33"/>
        <v>0</v>
      </c>
      <c r="F163" s="231">
        <f t="shared" si="33"/>
        <v>0</v>
      </c>
      <c r="G163" s="231">
        <f t="shared" si="33"/>
        <v>0</v>
      </c>
      <c r="H163" s="231">
        <f t="shared" si="33"/>
        <v>0</v>
      </c>
      <c r="I163" s="231">
        <f t="shared" si="33"/>
        <v>0</v>
      </c>
      <c r="J163" s="231">
        <f t="shared" si="33"/>
        <v>0</v>
      </c>
    </row>
    <row r="164" spans="1:10" x14ac:dyDescent="0.2">
      <c r="A164" s="247"/>
      <c r="B164" s="247">
        <v>242</v>
      </c>
      <c r="C164" s="222" t="s">
        <v>216</v>
      </c>
      <c r="D164" s="222"/>
      <c r="E164" s="231">
        <f t="shared" si="33"/>
        <v>0</v>
      </c>
      <c r="F164" s="231">
        <f t="shared" si="33"/>
        <v>0</v>
      </c>
      <c r="G164" s="231">
        <f t="shared" si="33"/>
        <v>0</v>
      </c>
      <c r="H164" s="231">
        <f t="shared" si="33"/>
        <v>0</v>
      </c>
      <c r="I164" s="231">
        <f t="shared" si="33"/>
        <v>0</v>
      </c>
      <c r="J164" s="231">
        <f t="shared" si="33"/>
        <v>0</v>
      </c>
    </row>
    <row r="165" spans="1:10" x14ac:dyDescent="0.2">
      <c r="A165" s="247"/>
      <c r="B165" s="247">
        <v>244</v>
      </c>
      <c r="C165" s="222" t="s">
        <v>217</v>
      </c>
      <c r="D165" s="222"/>
      <c r="E165" s="231">
        <f t="shared" si="33"/>
        <v>0</v>
      </c>
      <c r="F165" s="231">
        <f t="shared" si="33"/>
        <v>0</v>
      </c>
      <c r="G165" s="231">
        <f t="shared" si="33"/>
        <v>0</v>
      </c>
      <c r="H165" s="231">
        <f t="shared" si="33"/>
        <v>0</v>
      </c>
      <c r="I165" s="231">
        <f t="shared" si="33"/>
        <v>0</v>
      </c>
      <c r="J165" s="231">
        <f t="shared" si="33"/>
        <v>0</v>
      </c>
    </row>
    <row r="166" spans="1:10" x14ac:dyDescent="0.2">
      <c r="A166" s="247"/>
      <c r="B166" s="247">
        <v>246</v>
      </c>
      <c r="C166" s="222" t="s">
        <v>218</v>
      </c>
      <c r="D166" s="222"/>
      <c r="E166" s="231">
        <f t="shared" si="33"/>
        <v>201.25</v>
      </c>
      <c r="F166" s="231">
        <f t="shared" si="33"/>
        <v>1500</v>
      </c>
      <c r="G166" s="231">
        <f t="shared" si="33"/>
        <v>1500</v>
      </c>
      <c r="H166" s="231">
        <f t="shared" si="33"/>
        <v>500</v>
      </c>
      <c r="I166" s="231">
        <f t="shared" si="33"/>
        <v>500</v>
      </c>
      <c r="J166" s="231">
        <f t="shared" si="33"/>
        <v>500</v>
      </c>
    </row>
    <row r="167" spans="1:10" x14ac:dyDescent="0.2">
      <c r="A167" s="247"/>
      <c r="B167" s="247">
        <v>247</v>
      </c>
      <c r="C167" s="222" t="s">
        <v>219</v>
      </c>
      <c r="D167" s="222"/>
      <c r="E167" s="231">
        <f t="shared" si="33"/>
        <v>0</v>
      </c>
      <c r="F167" s="231">
        <f t="shared" si="33"/>
        <v>0</v>
      </c>
      <c r="G167" s="231">
        <f t="shared" si="33"/>
        <v>0</v>
      </c>
      <c r="H167" s="231">
        <f t="shared" si="33"/>
        <v>0</v>
      </c>
      <c r="I167" s="231">
        <f t="shared" si="33"/>
        <v>0</v>
      </c>
      <c r="J167" s="231">
        <f t="shared" si="33"/>
        <v>0</v>
      </c>
    </row>
    <row r="168" spans="1:10" x14ac:dyDescent="0.2">
      <c r="A168" s="247"/>
      <c r="B168" s="247">
        <v>260</v>
      </c>
      <c r="C168" s="222" t="s">
        <v>220</v>
      </c>
      <c r="D168" s="222"/>
      <c r="E168" s="231">
        <f t="shared" si="33"/>
        <v>0</v>
      </c>
      <c r="F168" s="231">
        <f t="shared" si="33"/>
        <v>0</v>
      </c>
      <c r="G168" s="231">
        <f t="shared" si="33"/>
        <v>0</v>
      </c>
      <c r="H168" s="231">
        <f t="shared" si="33"/>
        <v>0</v>
      </c>
      <c r="I168" s="231">
        <f t="shared" si="33"/>
        <v>0</v>
      </c>
      <c r="J168" s="231">
        <f t="shared" si="33"/>
        <v>0</v>
      </c>
    </row>
    <row r="169" spans="1:10" x14ac:dyDescent="0.2">
      <c r="A169" s="247"/>
      <c r="B169" s="247">
        <v>261</v>
      </c>
      <c r="C169" s="222" t="s">
        <v>221</v>
      </c>
      <c r="D169" s="222"/>
      <c r="E169" s="231">
        <f t="shared" si="33"/>
        <v>0</v>
      </c>
      <c r="F169" s="231">
        <f t="shared" si="33"/>
        <v>0</v>
      </c>
      <c r="G169" s="231">
        <f t="shared" si="33"/>
        <v>0</v>
      </c>
      <c r="H169" s="231">
        <f t="shared" si="33"/>
        <v>0</v>
      </c>
      <c r="I169" s="231">
        <f t="shared" si="33"/>
        <v>0</v>
      </c>
      <c r="J169" s="231">
        <f t="shared" si="33"/>
        <v>0</v>
      </c>
    </row>
    <row r="170" spans="1:10" x14ac:dyDescent="0.2">
      <c r="A170" s="247"/>
      <c r="B170" s="247">
        <v>265</v>
      </c>
      <c r="C170" s="222" t="s">
        <v>222</v>
      </c>
      <c r="D170" s="222"/>
      <c r="E170" s="231">
        <f t="shared" si="33"/>
        <v>0</v>
      </c>
      <c r="F170" s="231">
        <f t="shared" si="33"/>
        <v>0</v>
      </c>
      <c r="G170" s="231">
        <f t="shared" si="33"/>
        <v>40000</v>
      </c>
      <c r="H170" s="231">
        <f t="shared" si="33"/>
        <v>40000</v>
      </c>
      <c r="I170" s="231">
        <f t="shared" si="33"/>
        <v>40000</v>
      </c>
      <c r="J170" s="231">
        <f t="shared" si="33"/>
        <v>40000</v>
      </c>
    </row>
    <row r="171" spans="1:10" x14ac:dyDescent="0.2">
      <c r="A171" s="247"/>
      <c r="B171" s="247">
        <v>266</v>
      </c>
      <c r="C171" s="222" t="s">
        <v>223</v>
      </c>
      <c r="D171" s="222"/>
      <c r="E171" s="231">
        <f t="shared" si="33"/>
        <v>0</v>
      </c>
      <c r="F171" s="231">
        <f t="shared" si="33"/>
        <v>0</v>
      </c>
      <c r="G171" s="231">
        <f t="shared" si="33"/>
        <v>0</v>
      </c>
      <c r="H171" s="231">
        <f t="shared" si="33"/>
        <v>0</v>
      </c>
      <c r="I171" s="231">
        <f t="shared" si="33"/>
        <v>0</v>
      </c>
      <c r="J171" s="231">
        <f t="shared" si="33"/>
        <v>0</v>
      </c>
    </row>
    <row r="172" spans="1:10" x14ac:dyDescent="0.2">
      <c r="A172" s="247"/>
      <c r="B172" s="247">
        <v>270</v>
      </c>
      <c r="C172" s="222" t="s">
        <v>224</v>
      </c>
      <c r="D172" s="222"/>
      <c r="E172" s="231">
        <f t="shared" si="33"/>
        <v>0</v>
      </c>
      <c r="F172" s="231">
        <f t="shared" si="33"/>
        <v>0</v>
      </c>
      <c r="G172" s="231">
        <f t="shared" si="33"/>
        <v>0</v>
      </c>
      <c r="H172" s="231">
        <f t="shared" si="33"/>
        <v>0</v>
      </c>
      <c r="I172" s="231">
        <f t="shared" si="33"/>
        <v>0</v>
      </c>
      <c r="J172" s="231">
        <f t="shared" si="33"/>
        <v>0</v>
      </c>
    </row>
    <row r="173" spans="1:10" x14ac:dyDescent="0.2">
      <c r="A173" s="247"/>
      <c r="B173" s="247">
        <v>272</v>
      </c>
      <c r="C173" s="222" t="s">
        <v>225</v>
      </c>
      <c r="D173" s="222"/>
      <c r="E173" s="231">
        <f t="shared" si="33"/>
        <v>0</v>
      </c>
      <c r="F173" s="231">
        <f t="shared" si="33"/>
        <v>75000</v>
      </c>
      <c r="G173" s="231">
        <f t="shared" si="33"/>
        <v>35000</v>
      </c>
      <c r="H173" s="231">
        <f t="shared" si="33"/>
        <v>35000</v>
      </c>
      <c r="I173" s="231">
        <f t="shared" si="33"/>
        <v>35000</v>
      </c>
      <c r="J173" s="231">
        <f t="shared" si="33"/>
        <v>35000</v>
      </c>
    </row>
    <row r="174" spans="1:10" x14ac:dyDescent="0.2">
      <c r="A174" s="247"/>
      <c r="B174" s="247">
        <v>273</v>
      </c>
      <c r="C174" s="222" t="s">
        <v>226</v>
      </c>
      <c r="D174" s="222"/>
      <c r="E174" s="231">
        <f t="shared" si="33"/>
        <v>0</v>
      </c>
      <c r="F174" s="231">
        <f t="shared" si="33"/>
        <v>0</v>
      </c>
      <c r="G174" s="231">
        <f t="shared" si="33"/>
        <v>0</v>
      </c>
      <c r="H174" s="231">
        <f t="shared" si="33"/>
        <v>0</v>
      </c>
      <c r="I174" s="231">
        <f t="shared" si="33"/>
        <v>0</v>
      </c>
      <c r="J174" s="231">
        <f t="shared" si="33"/>
        <v>0</v>
      </c>
    </row>
    <row r="175" spans="1:10" x14ac:dyDescent="0.2">
      <c r="A175" s="247"/>
      <c r="B175" s="247">
        <v>274</v>
      </c>
      <c r="C175" s="222" t="s">
        <v>227</v>
      </c>
      <c r="D175" s="222"/>
      <c r="E175" s="231">
        <f t="shared" si="33"/>
        <v>0</v>
      </c>
      <c r="F175" s="231">
        <f t="shared" si="33"/>
        <v>0</v>
      </c>
      <c r="G175" s="231">
        <f t="shared" si="33"/>
        <v>0</v>
      </c>
      <c r="H175" s="231">
        <f t="shared" si="33"/>
        <v>0</v>
      </c>
      <c r="I175" s="231">
        <f t="shared" si="33"/>
        <v>0</v>
      </c>
      <c r="J175" s="231">
        <f t="shared" si="33"/>
        <v>0</v>
      </c>
    </row>
    <row r="176" spans="1:10" x14ac:dyDescent="0.2">
      <c r="A176" s="247"/>
      <c r="B176" s="247">
        <v>275</v>
      </c>
      <c r="C176" s="222" t="s">
        <v>228</v>
      </c>
      <c r="D176" s="222"/>
      <c r="E176" s="231">
        <f t="shared" si="33"/>
        <v>54875.08</v>
      </c>
      <c r="F176" s="231">
        <f t="shared" si="33"/>
        <v>30000</v>
      </c>
      <c r="G176" s="231">
        <f t="shared" si="33"/>
        <v>35000</v>
      </c>
      <c r="H176" s="231">
        <f t="shared" si="33"/>
        <v>70000</v>
      </c>
      <c r="I176" s="231">
        <f t="shared" si="33"/>
        <v>70000</v>
      </c>
      <c r="J176" s="231">
        <f t="shared" si="33"/>
        <v>70000</v>
      </c>
    </row>
    <row r="177" spans="1:10" x14ac:dyDescent="0.2">
      <c r="A177" s="247"/>
      <c r="B177" s="247">
        <v>276</v>
      </c>
      <c r="C177" s="222" t="s">
        <v>229</v>
      </c>
      <c r="D177" s="222"/>
      <c r="E177" s="231">
        <f t="shared" si="33"/>
        <v>0</v>
      </c>
      <c r="F177" s="231">
        <f t="shared" si="33"/>
        <v>0</v>
      </c>
      <c r="G177" s="231">
        <f t="shared" si="33"/>
        <v>0</v>
      </c>
      <c r="H177" s="231">
        <f t="shared" si="33"/>
        <v>0</v>
      </c>
      <c r="I177" s="231">
        <f t="shared" si="33"/>
        <v>0</v>
      </c>
      <c r="J177" s="231">
        <f t="shared" si="33"/>
        <v>0</v>
      </c>
    </row>
    <row r="178" spans="1:10" x14ac:dyDescent="0.2">
      <c r="A178" s="247"/>
      <c r="B178" s="247">
        <v>277</v>
      </c>
      <c r="C178" s="222" t="s">
        <v>230</v>
      </c>
      <c r="D178" s="222"/>
      <c r="E178" s="231">
        <f t="shared" ref="E178:J188" si="34">SUMIF($A$43:$A$973,$B178,E$43:E$973)</f>
        <v>0</v>
      </c>
      <c r="F178" s="231">
        <f t="shared" si="34"/>
        <v>0</v>
      </c>
      <c r="G178" s="231">
        <f t="shared" si="34"/>
        <v>0</v>
      </c>
      <c r="H178" s="231">
        <f t="shared" si="34"/>
        <v>0</v>
      </c>
      <c r="I178" s="231">
        <f t="shared" si="34"/>
        <v>0</v>
      </c>
      <c r="J178" s="231">
        <f t="shared" si="34"/>
        <v>0</v>
      </c>
    </row>
    <row r="179" spans="1:10" x14ac:dyDescent="0.2">
      <c r="A179" s="247"/>
      <c r="B179" s="247">
        <v>278</v>
      </c>
      <c r="C179" s="222" t="s">
        <v>231</v>
      </c>
      <c r="D179" s="222"/>
      <c r="E179" s="231">
        <f t="shared" si="34"/>
        <v>0</v>
      </c>
      <c r="F179" s="231">
        <f t="shared" si="34"/>
        <v>0</v>
      </c>
      <c r="G179" s="231">
        <f t="shared" si="34"/>
        <v>0</v>
      </c>
      <c r="H179" s="231">
        <f t="shared" si="34"/>
        <v>0</v>
      </c>
      <c r="I179" s="231">
        <f t="shared" si="34"/>
        <v>0</v>
      </c>
      <c r="J179" s="231">
        <f t="shared" si="34"/>
        <v>0</v>
      </c>
    </row>
    <row r="180" spans="1:10" x14ac:dyDescent="0.2">
      <c r="A180" s="247"/>
      <c r="B180" s="247">
        <v>279</v>
      </c>
      <c r="C180" s="222" t="s">
        <v>232</v>
      </c>
      <c r="D180" s="222"/>
      <c r="E180" s="231">
        <f t="shared" si="34"/>
        <v>0</v>
      </c>
      <c r="F180" s="231">
        <f t="shared" si="34"/>
        <v>0</v>
      </c>
      <c r="G180" s="231">
        <f t="shared" si="34"/>
        <v>0</v>
      </c>
      <c r="H180" s="231">
        <f t="shared" si="34"/>
        <v>0</v>
      </c>
      <c r="I180" s="231">
        <f t="shared" si="34"/>
        <v>0</v>
      </c>
      <c r="J180" s="231">
        <f t="shared" si="34"/>
        <v>0</v>
      </c>
    </row>
    <row r="181" spans="1:10" x14ac:dyDescent="0.2">
      <c r="A181" s="247"/>
      <c r="B181" s="247">
        <v>280</v>
      </c>
      <c r="C181" s="222" t="s">
        <v>233</v>
      </c>
      <c r="D181" s="222"/>
      <c r="E181" s="231">
        <f t="shared" si="34"/>
        <v>0</v>
      </c>
      <c r="F181" s="231">
        <f t="shared" si="34"/>
        <v>0</v>
      </c>
      <c r="G181" s="231">
        <f t="shared" si="34"/>
        <v>0</v>
      </c>
      <c r="H181" s="231">
        <f t="shared" si="34"/>
        <v>0</v>
      </c>
      <c r="I181" s="231">
        <f t="shared" si="34"/>
        <v>0</v>
      </c>
      <c r="J181" s="231">
        <f t="shared" si="34"/>
        <v>0</v>
      </c>
    </row>
    <row r="182" spans="1:10" x14ac:dyDescent="0.2">
      <c r="A182" s="247"/>
      <c r="B182" s="247">
        <v>281</v>
      </c>
      <c r="C182" s="222" t="s">
        <v>234</v>
      </c>
      <c r="D182" s="222"/>
      <c r="E182" s="231">
        <f t="shared" si="34"/>
        <v>0</v>
      </c>
      <c r="F182" s="231">
        <f t="shared" si="34"/>
        <v>0</v>
      </c>
      <c r="G182" s="231">
        <f t="shared" si="34"/>
        <v>0</v>
      </c>
      <c r="H182" s="231">
        <f t="shared" si="34"/>
        <v>0</v>
      </c>
      <c r="I182" s="231">
        <f t="shared" si="34"/>
        <v>0</v>
      </c>
      <c r="J182" s="231">
        <f t="shared" si="34"/>
        <v>0</v>
      </c>
    </row>
    <row r="183" spans="1:10" x14ac:dyDescent="0.2">
      <c r="A183" s="247"/>
      <c r="B183" s="247">
        <v>282</v>
      </c>
      <c r="C183" s="222" t="s">
        <v>235</v>
      </c>
      <c r="D183" s="222"/>
      <c r="E183" s="231">
        <f t="shared" si="34"/>
        <v>0</v>
      </c>
      <c r="F183" s="231">
        <f t="shared" si="34"/>
        <v>0</v>
      </c>
      <c r="G183" s="231">
        <f t="shared" si="34"/>
        <v>0</v>
      </c>
      <c r="H183" s="231">
        <f t="shared" si="34"/>
        <v>0</v>
      </c>
      <c r="I183" s="231">
        <f t="shared" si="34"/>
        <v>0</v>
      </c>
      <c r="J183" s="231">
        <f t="shared" si="34"/>
        <v>0</v>
      </c>
    </row>
    <row r="184" spans="1:10" x14ac:dyDescent="0.2">
      <c r="A184" s="247"/>
      <c r="B184" s="247">
        <v>283</v>
      </c>
      <c r="C184" s="222" t="s">
        <v>236</v>
      </c>
      <c r="D184" s="222"/>
      <c r="E184" s="231">
        <f t="shared" si="34"/>
        <v>0</v>
      </c>
      <c r="F184" s="231">
        <f t="shared" si="34"/>
        <v>0</v>
      </c>
      <c r="G184" s="231">
        <f t="shared" si="34"/>
        <v>0</v>
      </c>
      <c r="H184" s="231">
        <f t="shared" si="34"/>
        <v>0</v>
      </c>
      <c r="I184" s="231">
        <f t="shared" si="34"/>
        <v>0</v>
      </c>
      <c r="J184" s="231">
        <f t="shared" si="34"/>
        <v>0</v>
      </c>
    </row>
    <row r="185" spans="1:10" x14ac:dyDescent="0.2">
      <c r="A185" s="247"/>
      <c r="B185" s="247">
        <v>290</v>
      </c>
      <c r="C185" s="222" t="s">
        <v>238</v>
      </c>
      <c r="D185" s="222"/>
      <c r="E185" s="231">
        <f t="shared" si="34"/>
        <v>0</v>
      </c>
      <c r="F185" s="231">
        <f t="shared" si="34"/>
        <v>0</v>
      </c>
      <c r="G185" s="231">
        <f t="shared" si="34"/>
        <v>0</v>
      </c>
      <c r="H185" s="231">
        <f t="shared" si="34"/>
        <v>0</v>
      </c>
      <c r="I185" s="231">
        <f t="shared" si="34"/>
        <v>0</v>
      </c>
      <c r="J185" s="231">
        <f t="shared" si="34"/>
        <v>0</v>
      </c>
    </row>
    <row r="186" spans="1:10" x14ac:dyDescent="0.2">
      <c r="A186" s="247"/>
      <c r="B186" s="247">
        <v>292</v>
      </c>
      <c r="C186" s="222" t="s">
        <v>239</v>
      </c>
      <c r="D186" s="222"/>
      <c r="E186" s="231">
        <f t="shared" si="34"/>
        <v>0</v>
      </c>
      <c r="F186" s="231">
        <f t="shared" si="34"/>
        <v>0</v>
      </c>
      <c r="G186" s="231">
        <f t="shared" si="34"/>
        <v>0</v>
      </c>
      <c r="H186" s="231">
        <f t="shared" si="34"/>
        <v>0</v>
      </c>
      <c r="I186" s="231">
        <f t="shared" si="34"/>
        <v>0</v>
      </c>
      <c r="J186" s="231">
        <f t="shared" si="34"/>
        <v>0</v>
      </c>
    </row>
    <row r="187" spans="1:10" x14ac:dyDescent="0.2">
      <c r="A187" s="247"/>
      <c r="B187" s="247">
        <v>293</v>
      </c>
      <c r="C187" s="222" t="s">
        <v>240</v>
      </c>
      <c r="D187" s="222"/>
      <c r="E187" s="231">
        <f t="shared" ref="E187:J187" si="35">SUMIF($A$49:$A$954,$B187,E$49:E$954)</f>
        <v>0</v>
      </c>
      <c r="F187" s="231">
        <f t="shared" si="35"/>
        <v>0</v>
      </c>
      <c r="G187" s="231">
        <f t="shared" si="35"/>
        <v>0</v>
      </c>
      <c r="H187" s="231">
        <f t="shared" si="35"/>
        <v>0</v>
      </c>
      <c r="I187" s="231">
        <f t="shared" si="35"/>
        <v>0</v>
      </c>
      <c r="J187" s="231">
        <f t="shared" si="35"/>
        <v>0</v>
      </c>
    </row>
    <row r="188" spans="1:10" x14ac:dyDescent="0.2">
      <c r="A188" s="222"/>
      <c r="B188" s="247"/>
      <c r="C188" s="229" t="s">
        <v>423</v>
      </c>
      <c r="D188" s="240"/>
      <c r="E188" s="248">
        <f t="shared" ref="E188:J188" si="36">SUM(E146:E187)</f>
        <v>1655116.58</v>
      </c>
      <c r="F188" s="248">
        <f t="shared" si="36"/>
        <v>1682700</v>
      </c>
      <c r="G188" s="248">
        <f t="shared" si="36"/>
        <v>1551800</v>
      </c>
      <c r="H188" s="248">
        <f t="shared" si="36"/>
        <v>1739100</v>
      </c>
      <c r="I188" s="248">
        <f t="shared" si="36"/>
        <v>1768300</v>
      </c>
      <c r="J188" s="248">
        <f t="shared" si="36"/>
        <v>1757000</v>
      </c>
    </row>
  </sheetData>
  <mergeCells count="124">
    <mergeCell ref="A111:E111"/>
    <mergeCell ref="A112:J112"/>
    <mergeCell ref="A113:E113"/>
    <mergeCell ref="A114:E114"/>
    <mergeCell ref="A115:J115"/>
    <mergeCell ref="A105:J105"/>
    <mergeCell ref="A106:J106"/>
    <mergeCell ref="A107:E107"/>
    <mergeCell ref="A108:J108"/>
    <mergeCell ref="A109:E109"/>
    <mergeCell ref="A110:E110"/>
    <mergeCell ref="A99:J99"/>
    <mergeCell ref="A100:J100"/>
    <mergeCell ref="A101:J101"/>
    <mergeCell ref="A102:J102"/>
    <mergeCell ref="A103:J103"/>
    <mergeCell ref="A104:J104"/>
    <mergeCell ref="A93:I93"/>
    <mergeCell ref="A94:J94"/>
    <mergeCell ref="A95:J95"/>
    <mergeCell ref="A96:J96"/>
    <mergeCell ref="A97:J97"/>
    <mergeCell ref="A98:J98"/>
    <mergeCell ref="A90:C90"/>
    <mergeCell ref="F90:H90"/>
    <mergeCell ref="A91:C91"/>
    <mergeCell ref="F91:H91"/>
    <mergeCell ref="A92:C92"/>
    <mergeCell ref="F92:H92"/>
    <mergeCell ref="A87:C87"/>
    <mergeCell ref="F87:H87"/>
    <mergeCell ref="A88:C88"/>
    <mergeCell ref="F88:H88"/>
    <mergeCell ref="A89:C89"/>
    <mergeCell ref="F89:H89"/>
    <mergeCell ref="C81:D81"/>
    <mergeCell ref="C82:D82"/>
    <mergeCell ref="A83:D83"/>
    <mergeCell ref="A84:I84"/>
    <mergeCell ref="A85:J85"/>
    <mergeCell ref="A86:C86"/>
    <mergeCell ref="F86:H86"/>
    <mergeCell ref="A77:D77"/>
    <mergeCell ref="A78:I78"/>
    <mergeCell ref="A79:J79"/>
    <mergeCell ref="A80:D80"/>
    <mergeCell ref="E80:E81"/>
    <mergeCell ref="F80:F81"/>
    <mergeCell ref="G80:G81"/>
    <mergeCell ref="H80:H81"/>
    <mergeCell ref="I80:I81"/>
    <mergeCell ref="J80:J81"/>
    <mergeCell ref="B71:D71"/>
    <mergeCell ref="B72:D72"/>
    <mergeCell ref="B73:D73"/>
    <mergeCell ref="B74:D74"/>
    <mergeCell ref="B75:D75"/>
    <mergeCell ref="A76:D76"/>
    <mergeCell ref="A64:D64"/>
    <mergeCell ref="B66:D66"/>
    <mergeCell ref="B67:D67"/>
    <mergeCell ref="B68:D68"/>
    <mergeCell ref="B69:D69"/>
    <mergeCell ref="B70:D70"/>
    <mergeCell ref="B58:D58"/>
    <mergeCell ref="A59:I59"/>
    <mergeCell ref="B60:D60"/>
    <mergeCell ref="B61:D61"/>
    <mergeCell ref="B62:D62"/>
    <mergeCell ref="B63:D63"/>
    <mergeCell ref="A52:J52"/>
    <mergeCell ref="B53:D53"/>
    <mergeCell ref="B54:D54"/>
    <mergeCell ref="A55:D55"/>
    <mergeCell ref="A56:J56"/>
    <mergeCell ref="A57:J57"/>
    <mergeCell ref="A47:J47"/>
    <mergeCell ref="A48:D48"/>
    <mergeCell ref="A49:J49"/>
    <mergeCell ref="A50:C50"/>
    <mergeCell ref="D50:J50"/>
    <mergeCell ref="A51:J51"/>
    <mergeCell ref="C41:D41"/>
    <mergeCell ref="C42:D42"/>
    <mergeCell ref="A43:D43"/>
    <mergeCell ref="A44:J44"/>
    <mergeCell ref="A45:D45"/>
    <mergeCell ref="A46:J46"/>
    <mergeCell ref="B35:D35"/>
    <mergeCell ref="B36:D36"/>
    <mergeCell ref="B37:D37"/>
    <mergeCell ref="A38:D38"/>
    <mergeCell ref="A39:J39"/>
    <mergeCell ref="A40:J40"/>
    <mergeCell ref="A29:D29"/>
    <mergeCell ref="A30:J30"/>
    <mergeCell ref="A31:J31"/>
    <mergeCell ref="A32:J32"/>
    <mergeCell ref="B33:D33"/>
    <mergeCell ref="B34:D34"/>
    <mergeCell ref="A23:J23"/>
    <mergeCell ref="B24:D24"/>
    <mergeCell ref="A25:D25"/>
    <mergeCell ref="A26:J26"/>
    <mergeCell ref="A27:J27"/>
    <mergeCell ref="B28:D28"/>
    <mergeCell ref="A17:J17"/>
    <mergeCell ref="A18:J18"/>
    <mergeCell ref="A19:J19"/>
    <mergeCell ref="A20:J20"/>
    <mergeCell ref="A21:J21"/>
    <mergeCell ref="B22:D22"/>
    <mergeCell ref="A11:J11"/>
    <mergeCell ref="A12:J12"/>
    <mergeCell ref="A13:J13"/>
    <mergeCell ref="A14:J14"/>
    <mergeCell ref="A15:J15"/>
    <mergeCell ref="A16:J16"/>
    <mergeCell ref="A1:J1"/>
    <mergeCell ref="A2:J2"/>
    <mergeCell ref="A3:J3"/>
    <mergeCell ref="A8:J8"/>
    <mergeCell ref="A9:J9"/>
    <mergeCell ref="A10:J10"/>
  </mergeCells>
  <pageMargins left="0.25" right="0.25" top="0.75" bottom="0.75" header="0.3" footer="0.3"/>
  <pageSetup fitToHeight="0" orientation="portrait" r:id="rId1"/>
  <rowBreaks count="4" manualBreakCount="4">
    <brk id="48" max="9" man="1"/>
    <brk id="93" max="9" man="1"/>
    <brk id="116" max="16383" man="1"/>
    <brk id="14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79"/>
  <sheetViews>
    <sheet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11.28515625" style="100" customWidth="1"/>
    <col min="6" max="6" width="9.85546875" style="249" customWidth="1"/>
    <col min="7" max="10" width="9.85546875" style="100" customWidth="1"/>
    <col min="11" max="16384" width="9.140625" style="100"/>
  </cols>
  <sheetData>
    <row r="1" spans="1:10" x14ac:dyDescent="0.2">
      <c r="A1" s="98" t="s">
        <v>254</v>
      </c>
      <c r="B1" s="98"/>
      <c r="C1" s="99"/>
      <c r="D1" s="99"/>
      <c r="E1" s="99"/>
      <c r="F1" s="99"/>
      <c r="G1" s="99"/>
      <c r="H1" s="99"/>
      <c r="I1" s="99"/>
      <c r="J1" s="99"/>
    </row>
    <row r="2" spans="1:10" x14ac:dyDescent="0.2">
      <c r="A2" s="98" t="s">
        <v>424</v>
      </c>
      <c r="B2" s="98"/>
      <c r="C2" s="101"/>
      <c r="D2" s="101"/>
      <c r="E2" s="101"/>
      <c r="F2" s="101"/>
      <c r="G2" s="101"/>
      <c r="H2" s="101"/>
      <c r="I2" s="101"/>
      <c r="J2" s="101"/>
    </row>
    <row r="3" spans="1:10" ht="15" thickBot="1" x14ac:dyDescent="0.25">
      <c r="A3" s="250"/>
      <c r="B3" s="251"/>
      <c r="C3" s="251"/>
      <c r="D3" s="251"/>
      <c r="E3" s="251"/>
      <c r="F3" s="251"/>
      <c r="G3" s="251"/>
      <c r="H3" s="251"/>
      <c r="I3" s="251"/>
      <c r="J3" s="252"/>
    </row>
    <row r="4" spans="1:10" x14ac:dyDescent="0.2">
      <c r="A4" s="253" t="s">
        <v>256</v>
      </c>
      <c r="B4" s="254" t="s">
        <v>257</v>
      </c>
      <c r="C4" s="254"/>
      <c r="D4" s="254"/>
      <c r="E4" s="254"/>
      <c r="F4" s="254"/>
      <c r="G4" s="255"/>
      <c r="H4" s="255"/>
      <c r="I4" s="255"/>
      <c r="J4" s="256"/>
    </row>
    <row r="5" spans="1:10" x14ac:dyDescent="0.2">
      <c r="A5" s="109"/>
      <c r="B5" s="106" t="s">
        <v>425</v>
      </c>
      <c r="C5" s="110"/>
      <c r="D5" s="110"/>
      <c r="E5" s="106"/>
      <c r="F5" s="106"/>
      <c r="G5" s="111"/>
      <c r="H5" s="111"/>
      <c r="I5" s="111"/>
      <c r="J5" s="112">
        <f>H42</f>
        <v>339200</v>
      </c>
    </row>
    <row r="6" spans="1:10" x14ac:dyDescent="0.2">
      <c r="A6" s="115" t="s">
        <v>260</v>
      </c>
      <c r="B6" s="116" t="s">
        <v>261</v>
      </c>
      <c r="C6" s="116"/>
      <c r="D6" s="116" t="s">
        <v>426</v>
      </c>
      <c r="E6" s="116"/>
      <c r="F6" s="116"/>
      <c r="G6" s="117"/>
      <c r="H6" s="117"/>
      <c r="I6" s="117"/>
      <c r="J6" s="118"/>
    </row>
    <row r="7" spans="1:10" ht="15" thickBot="1" x14ac:dyDescent="0.25">
      <c r="A7" s="119" t="s">
        <v>263</v>
      </c>
      <c r="B7" s="120" t="s">
        <v>427</v>
      </c>
      <c r="C7" s="120"/>
      <c r="D7" s="121"/>
      <c r="E7" s="121"/>
      <c r="F7" s="121"/>
      <c r="G7" s="123"/>
      <c r="H7" s="123"/>
      <c r="I7" s="123"/>
      <c r="J7" s="279"/>
    </row>
    <row r="8" spans="1:10" ht="15" x14ac:dyDescent="0.2">
      <c r="A8" s="280"/>
      <c r="B8" s="280"/>
      <c r="C8" s="280"/>
      <c r="D8" s="280"/>
      <c r="E8" s="280"/>
      <c r="F8" s="280"/>
      <c r="G8" s="280"/>
      <c r="H8" s="280"/>
      <c r="I8" s="280"/>
      <c r="J8" s="281"/>
    </row>
    <row r="9" spans="1:10" ht="14.25" customHeight="1" x14ac:dyDescent="0.2">
      <c r="A9" s="128" t="s">
        <v>265</v>
      </c>
      <c r="B9" s="128"/>
      <c r="C9" s="128"/>
      <c r="D9" s="128"/>
      <c r="E9" s="128"/>
      <c r="F9" s="128"/>
      <c r="G9" s="128"/>
      <c r="H9" s="128"/>
      <c r="I9" s="128"/>
      <c r="J9" s="128"/>
    </row>
    <row r="10" spans="1:10" x14ac:dyDescent="0.2">
      <c r="A10" s="282" t="s">
        <v>428</v>
      </c>
      <c r="B10" s="282"/>
      <c r="C10" s="282"/>
      <c r="D10" s="282"/>
      <c r="E10" s="282"/>
      <c r="F10" s="282"/>
      <c r="G10" s="282"/>
      <c r="H10" s="282"/>
      <c r="I10" s="282"/>
      <c r="J10" s="282"/>
    </row>
    <row r="11" spans="1:10" x14ac:dyDescent="0.2">
      <c r="A11" s="128" t="s">
        <v>267</v>
      </c>
      <c r="B11" s="128"/>
      <c r="C11" s="128"/>
      <c r="D11" s="128"/>
      <c r="E11" s="128"/>
      <c r="F11" s="128"/>
      <c r="G11" s="128"/>
      <c r="H11" s="128"/>
      <c r="I11" s="128"/>
      <c r="J11" s="128"/>
    </row>
    <row r="12" spans="1:10" x14ac:dyDescent="0.2">
      <c r="A12" s="282" t="s">
        <v>429</v>
      </c>
      <c r="B12" s="282"/>
      <c r="C12" s="282"/>
      <c r="D12" s="282"/>
      <c r="E12" s="282"/>
      <c r="F12" s="282"/>
      <c r="G12" s="282"/>
      <c r="H12" s="282"/>
      <c r="I12" s="282"/>
      <c r="J12" s="282"/>
    </row>
    <row r="13" spans="1:10" x14ac:dyDescent="0.2">
      <c r="A13" s="283"/>
      <c r="B13" s="283"/>
      <c r="C13" s="283"/>
      <c r="D13" s="283"/>
      <c r="E13" s="283"/>
      <c r="F13" s="283"/>
      <c r="G13" s="283"/>
      <c r="H13" s="283"/>
      <c r="I13" s="283"/>
      <c r="J13" s="283"/>
    </row>
    <row r="14" spans="1:10" x14ac:dyDescent="0.2">
      <c r="A14" s="128" t="s">
        <v>269</v>
      </c>
      <c r="B14" s="128"/>
      <c r="C14" s="128"/>
      <c r="D14" s="128"/>
      <c r="E14" s="128"/>
      <c r="F14" s="128"/>
      <c r="G14" s="128"/>
      <c r="H14" s="128"/>
      <c r="I14" s="128"/>
      <c r="J14" s="128"/>
    </row>
    <row r="15" spans="1:10" x14ac:dyDescent="0.2">
      <c r="A15" s="284" t="s">
        <v>430</v>
      </c>
      <c r="B15" s="284"/>
      <c r="C15" s="284"/>
      <c r="D15" s="284"/>
      <c r="E15" s="284"/>
      <c r="F15" s="284"/>
      <c r="G15" s="284"/>
      <c r="H15" s="284"/>
      <c r="I15" s="284"/>
      <c r="J15" s="284"/>
    </row>
    <row r="16" spans="1:10" x14ac:dyDescent="0.2">
      <c r="A16" s="128" t="s">
        <v>272</v>
      </c>
      <c r="B16" s="128"/>
      <c r="C16" s="128"/>
      <c r="D16" s="128"/>
      <c r="E16" s="128"/>
      <c r="F16" s="128"/>
      <c r="G16" s="128"/>
      <c r="H16" s="128"/>
      <c r="I16" s="128"/>
      <c r="J16" s="128"/>
    </row>
    <row r="17" spans="1:10" ht="26.25" customHeight="1" x14ac:dyDescent="0.2">
      <c r="A17" s="285" t="s">
        <v>431</v>
      </c>
      <c r="B17" s="285"/>
      <c r="C17" s="285"/>
      <c r="D17" s="285"/>
      <c r="E17" s="285"/>
      <c r="F17" s="285"/>
      <c r="G17" s="285"/>
      <c r="H17" s="285"/>
      <c r="I17" s="285"/>
      <c r="J17" s="285"/>
    </row>
    <row r="18" spans="1:10" x14ac:dyDescent="0.2">
      <c r="A18" s="128" t="s">
        <v>275</v>
      </c>
      <c r="B18" s="128"/>
      <c r="C18" s="128"/>
      <c r="D18" s="128"/>
      <c r="E18" s="128"/>
      <c r="F18" s="128"/>
      <c r="G18" s="128"/>
      <c r="H18" s="128"/>
      <c r="I18" s="128"/>
      <c r="J18" s="128"/>
    </row>
    <row r="19" spans="1:10" ht="33.75" x14ac:dyDescent="0.2">
      <c r="A19" s="130" t="s">
        <v>243</v>
      </c>
      <c r="B19" s="131" t="s">
        <v>242</v>
      </c>
      <c r="C19" s="131"/>
      <c r="D19" s="131"/>
      <c r="E19" s="132" t="str">
        <f>Summary!$G$25</f>
        <v>Actuals           2014-2015</v>
      </c>
      <c r="F19" s="132" t="str">
        <f>Summary!$H$25</f>
        <v>Approved Estimates          2015-2016</v>
      </c>
      <c r="G19" s="132" t="str">
        <f>Summary!$I$25</f>
        <v>Revised Estimates                 2015-2016</v>
      </c>
      <c r="H19" s="132" t="str">
        <f>Summary!$J$25</f>
        <v>Budget Estimates      2016-2017</v>
      </c>
      <c r="I19" s="132" t="str">
        <f>Summary!$K$25</f>
        <v>Forward Estimates     2017-2018</v>
      </c>
      <c r="J19" s="132" t="str">
        <f>Summary!$L$25</f>
        <v>Forward Estimates     2018-2019</v>
      </c>
    </row>
    <row r="20" spans="1:10" x14ac:dyDescent="0.2">
      <c r="A20" s="128" t="s">
        <v>276</v>
      </c>
      <c r="B20" s="128"/>
      <c r="C20" s="128"/>
      <c r="D20" s="128"/>
      <c r="E20" s="128"/>
      <c r="F20" s="128"/>
      <c r="G20" s="128"/>
      <c r="H20" s="128"/>
      <c r="I20" s="128"/>
      <c r="J20" s="128"/>
    </row>
    <row r="21" spans="1:10" x14ac:dyDescent="0.2">
      <c r="A21" s="208" t="s">
        <v>93</v>
      </c>
      <c r="B21" s="129" t="s">
        <v>432</v>
      </c>
      <c r="C21" s="129"/>
      <c r="D21" s="129"/>
      <c r="E21" s="211">
        <f t="shared" ref="E21:J21" si="0">E53</f>
        <v>46037</v>
      </c>
      <c r="F21" s="209">
        <f t="shared" si="0"/>
        <v>40000</v>
      </c>
      <c r="G21" s="211">
        <f t="shared" si="0"/>
        <v>46000</v>
      </c>
      <c r="H21" s="210">
        <f t="shared" si="0"/>
        <v>40000</v>
      </c>
      <c r="I21" s="211">
        <f t="shared" si="0"/>
        <v>40000</v>
      </c>
      <c r="J21" s="211">
        <f t="shared" si="0"/>
        <v>40000</v>
      </c>
    </row>
    <row r="22" spans="1:10" x14ac:dyDescent="0.2">
      <c r="A22" s="137" t="s">
        <v>433</v>
      </c>
      <c r="B22" s="137"/>
      <c r="C22" s="137"/>
      <c r="D22" s="137"/>
      <c r="E22" s="138">
        <f t="shared" ref="E22:J22" si="1">SUM(E21:E21)</f>
        <v>46037</v>
      </c>
      <c r="F22" s="138">
        <f t="shared" si="1"/>
        <v>40000</v>
      </c>
      <c r="G22" s="138">
        <f t="shared" si="1"/>
        <v>46000</v>
      </c>
      <c r="H22" s="138">
        <f t="shared" si="1"/>
        <v>40000</v>
      </c>
      <c r="I22" s="138">
        <f t="shared" si="1"/>
        <v>40000</v>
      </c>
      <c r="J22" s="138">
        <f t="shared" si="1"/>
        <v>40000</v>
      </c>
    </row>
    <row r="23" spans="1:10" x14ac:dyDescent="0.2">
      <c r="A23" s="129"/>
      <c r="B23" s="129"/>
      <c r="C23" s="129"/>
      <c r="D23" s="129"/>
      <c r="E23" s="129"/>
      <c r="F23" s="129"/>
      <c r="G23" s="129"/>
      <c r="H23" s="129"/>
      <c r="I23" s="129"/>
      <c r="J23" s="129"/>
    </row>
    <row r="24" spans="1:10" x14ac:dyDescent="0.2">
      <c r="A24" s="128" t="s">
        <v>281</v>
      </c>
      <c r="B24" s="128"/>
      <c r="C24" s="128"/>
      <c r="D24" s="128"/>
      <c r="E24" s="128"/>
      <c r="F24" s="128"/>
      <c r="G24" s="128"/>
      <c r="H24" s="128"/>
      <c r="I24" s="128"/>
      <c r="J24" s="128"/>
    </row>
    <row r="25" spans="1:10" x14ac:dyDescent="0.2">
      <c r="A25" s="261" t="s">
        <v>93</v>
      </c>
      <c r="B25" s="129" t="s">
        <v>432</v>
      </c>
      <c r="C25" s="101"/>
      <c r="D25" s="101"/>
      <c r="E25" s="211">
        <f t="shared" ref="E25:J25" si="2">E70+E77</f>
        <v>308218.84999999998</v>
      </c>
      <c r="F25" s="209">
        <f t="shared" si="2"/>
        <v>330900</v>
      </c>
      <c r="G25" s="211">
        <f t="shared" si="2"/>
        <v>309200</v>
      </c>
      <c r="H25" s="210">
        <f t="shared" si="2"/>
        <v>339200</v>
      </c>
      <c r="I25" s="211">
        <f t="shared" si="2"/>
        <v>359200</v>
      </c>
      <c r="J25" s="211">
        <f t="shared" si="2"/>
        <v>341600</v>
      </c>
    </row>
    <row r="26" spans="1:10" x14ac:dyDescent="0.2">
      <c r="A26" s="139" t="s">
        <v>407</v>
      </c>
      <c r="B26" s="139"/>
      <c r="C26" s="139"/>
      <c r="D26" s="139"/>
      <c r="E26" s="140">
        <f t="shared" ref="E26:J26" si="3">SUM(E25:E25)</f>
        <v>308218.84999999998</v>
      </c>
      <c r="F26" s="140">
        <f t="shared" si="3"/>
        <v>330900</v>
      </c>
      <c r="G26" s="140">
        <f t="shared" si="3"/>
        <v>309200</v>
      </c>
      <c r="H26" s="140">
        <f t="shared" si="3"/>
        <v>339200</v>
      </c>
      <c r="I26" s="140">
        <f t="shared" si="3"/>
        <v>359200</v>
      </c>
      <c r="J26" s="140">
        <f t="shared" si="3"/>
        <v>341600</v>
      </c>
    </row>
    <row r="27" spans="1:10" x14ac:dyDescent="0.2">
      <c r="A27" s="151"/>
      <c r="B27" s="151"/>
      <c r="C27" s="151"/>
      <c r="D27" s="151"/>
      <c r="E27" s="261"/>
      <c r="F27" s="286"/>
      <c r="G27" s="261"/>
      <c r="H27" s="261"/>
      <c r="I27" s="261"/>
      <c r="J27" s="261"/>
    </row>
    <row r="28" spans="1:10" x14ac:dyDescent="0.2">
      <c r="A28" s="141" t="s">
        <v>283</v>
      </c>
      <c r="B28" s="141"/>
      <c r="C28" s="141"/>
      <c r="D28" s="141"/>
      <c r="E28" s="141"/>
      <c r="F28" s="141"/>
      <c r="G28" s="141"/>
      <c r="H28" s="141"/>
      <c r="I28" s="141"/>
      <c r="J28" s="141"/>
    </row>
    <row r="29" spans="1:10" x14ac:dyDescent="0.2">
      <c r="A29" s="131" t="s">
        <v>284</v>
      </c>
      <c r="B29" s="131"/>
      <c r="C29" s="131"/>
      <c r="D29" s="131"/>
      <c r="E29" s="131"/>
      <c r="F29" s="131"/>
      <c r="G29" s="131"/>
      <c r="H29" s="131"/>
      <c r="I29" s="131"/>
      <c r="J29" s="131"/>
    </row>
    <row r="30" spans="1:10" x14ac:dyDescent="0.2">
      <c r="A30" s="261"/>
      <c r="B30" s="129" t="s">
        <v>7</v>
      </c>
      <c r="C30" s="101"/>
      <c r="D30" s="101"/>
      <c r="E30" s="211">
        <f t="shared" ref="E30:J30" si="4">E112</f>
        <v>165978.93</v>
      </c>
      <c r="F30" s="209">
        <f t="shared" si="4"/>
        <v>171000</v>
      </c>
      <c r="G30" s="211">
        <f t="shared" si="4"/>
        <v>188700</v>
      </c>
      <c r="H30" s="210">
        <f t="shared" si="4"/>
        <v>188700</v>
      </c>
      <c r="I30" s="211">
        <f t="shared" si="4"/>
        <v>189900</v>
      </c>
      <c r="J30" s="211">
        <f t="shared" si="4"/>
        <v>191100</v>
      </c>
    </row>
    <row r="31" spans="1:10" x14ac:dyDescent="0.2">
      <c r="A31" s="261"/>
      <c r="B31" s="129" t="s">
        <v>196</v>
      </c>
      <c r="C31" s="101"/>
      <c r="D31" s="101"/>
      <c r="E31" s="211">
        <f t="shared" ref="E31:J31" si="5">E116</f>
        <v>0</v>
      </c>
      <c r="F31" s="209">
        <f t="shared" si="5"/>
        <v>0</v>
      </c>
      <c r="G31" s="211">
        <f t="shared" si="5"/>
        <v>0</v>
      </c>
      <c r="H31" s="210">
        <f t="shared" si="5"/>
        <v>0</v>
      </c>
      <c r="I31" s="211">
        <f t="shared" si="5"/>
        <v>0</v>
      </c>
      <c r="J31" s="211">
        <f t="shared" si="5"/>
        <v>0</v>
      </c>
    </row>
    <row r="32" spans="1:10" x14ac:dyDescent="0.2">
      <c r="A32" s="261"/>
      <c r="B32" s="129" t="s">
        <v>285</v>
      </c>
      <c r="C32" s="101"/>
      <c r="D32" s="101"/>
      <c r="E32" s="211">
        <f t="shared" ref="E32:J32" si="6">E120</f>
        <v>87240.4</v>
      </c>
      <c r="F32" s="209">
        <f t="shared" si="6"/>
        <v>100300</v>
      </c>
      <c r="G32" s="211">
        <f t="shared" si="6"/>
        <v>73400</v>
      </c>
      <c r="H32" s="210">
        <f t="shared" si="6"/>
        <v>100300</v>
      </c>
      <c r="I32" s="211">
        <f t="shared" si="6"/>
        <v>100300</v>
      </c>
      <c r="J32" s="211">
        <f t="shared" si="6"/>
        <v>100300</v>
      </c>
    </row>
    <row r="33" spans="1:10" x14ac:dyDescent="0.2">
      <c r="A33" s="261"/>
      <c r="B33" s="129" t="s">
        <v>198</v>
      </c>
      <c r="C33" s="101"/>
      <c r="D33" s="101"/>
      <c r="E33" s="211">
        <f t="shared" ref="E33:J33" si="7">E124</f>
        <v>18750</v>
      </c>
      <c r="F33" s="209">
        <f t="shared" si="7"/>
        <v>9400</v>
      </c>
      <c r="G33" s="211">
        <f t="shared" si="7"/>
        <v>0</v>
      </c>
      <c r="H33" s="210">
        <f t="shared" si="7"/>
        <v>0</v>
      </c>
      <c r="I33" s="211">
        <f t="shared" si="7"/>
        <v>18800</v>
      </c>
      <c r="J33" s="211">
        <f t="shared" si="7"/>
        <v>0</v>
      </c>
    </row>
    <row r="34" spans="1:10" x14ac:dyDescent="0.2">
      <c r="A34" s="261"/>
      <c r="B34" s="129" t="s">
        <v>286</v>
      </c>
      <c r="C34" s="101"/>
      <c r="D34" s="101"/>
      <c r="E34" s="211">
        <f t="shared" ref="E34:J34" si="8">E128</f>
        <v>36249.519999999997</v>
      </c>
      <c r="F34" s="209">
        <f t="shared" si="8"/>
        <v>50200</v>
      </c>
      <c r="G34" s="211">
        <f t="shared" si="8"/>
        <v>47100</v>
      </c>
      <c r="H34" s="210">
        <f t="shared" si="8"/>
        <v>50200</v>
      </c>
      <c r="I34" s="211">
        <f t="shared" si="8"/>
        <v>50200</v>
      </c>
      <c r="J34" s="211">
        <f t="shared" si="8"/>
        <v>50200</v>
      </c>
    </row>
    <row r="35" spans="1:10" x14ac:dyDescent="0.2">
      <c r="A35" s="139" t="s">
        <v>287</v>
      </c>
      <c r="B35" s="139"/>
      <c r="C35" s="139"/>
      <c r="D35" s="139"/>
      <c r="E35" s="140">
        <f t="shared" ref="E35:J35" si="9">SUM(E30:E34)</f>
        <v>308218.84999999998</v>
      </c>
      <c r="F35" s="140">
        <f t="shared" si="9"/>
        <v>330900</v>
      </c>
      <c r="G35" s="140">
        <f t="shared" si="9"/>
        <v>309200</v>
      </c>
      <c r="H35" s="140">
        <f t="shared" si="9"/>
        <v>339200</v>
      </c>
      <c r="I35" s="140">
        <f t="shared" si="9"/>
        <v>359200</v>
      </c>
      <c r="J35" s="140">
        <f t="shared" si="9"/>
        <v>341600</v>
      </c>
    </row>
    <row r="36" spans="1:10" x14ac:dyDescent="0.2">
      <c r="A36" s="129"/>
      <c r="B36" s="129"/>
      <c r="C36" s="129"/>
      <c r="D36" s="129"/>
      <c r="E36" s="129"/>
      <c r="F36" s="129"/>
      <c r="G36" s="129"/>
      <c r="H36" s="129"/>
      <c r="I36" s="129"/>
      <c r="J36" s="129"/>
    </row>
    <row r="37" spans="1:10" x14ac:dyDescent="0.2">
      <c r="A37" s="131" t="s">
        <v>15</v>
      </c>
      <c r="B37" s="131"/>
      <c r="C37" s="131"/>
      <c r="D37" s="131"/>
      <c r="E37" s="131"/>
      <c r="F37" s="131"/>
      <c r="G37" s="131"/>
      <c r="H37" s="131"/>
      <c r="I37" s="131"/>
      <c r="J37" s="131"/>
    </row>
    <row r="38" spans="1:10" x14ac:dyDescent="0.2">
      <c r="A38" s="130" t="s">
        <v>243</v>
      </c>
      <c r="B38" s="130" t="s">
        <v>244</v>
      </c>
      <c r="C38" s="131" t="s">
        <v>245</v>
      </c>
      <c r="D38" s="142"/>
      <c r="E38" s="143"/>
      <c r="F38" s="143"/>
      <c r="G38" s="143"/>
      <c r="H38" s="143"/>
      <c r="I38" s="143"/>
      <c r="J38" s="143"/>
    </row>
    <row r="39" spans="1:10" x14ac:dyDescent="0.2">
      <c r="A39" s="261"/>
      <c r="B39" s="261"/>
      <c r="C39" s="129"/>
      <c r="D39" s="101"/>
      <c r="E39" s="211"/>
      <c r="F39" s="209"/>
      <c r="G39" s="211"/>
      <c r="H39" s="210"/>
      <c r="I39" s="211"/>
      <c r="J39" s="211"/>
    </row>
    <row r="40" spans="1:10" x14ac:dyDescent="0.2">
      <c r="A40" s="139" t="s">
        <v>69</v>
      </c>
      <c r="B40" s="139"/>
      <c r="C40" s="139"/>
      <c r="D40" s="139"/>
      <c r="E40" s="140">
        <f t="shared" ref="E40:J40" si="10">SUM(E39:E39)</f>
        <v>0</v>
      </c>
      <c r="F40" s="140">
        <f t="shared" si="10"/>
        <v>0</v>
      </c>
      <c r="G40" s="140">
        <f t="shared" si="10"/>
        <v>0</v>
      </c>
      <c r="H40" s="140">
        <f t="shared" si="10"/>
        <v>0</v>
      </c>
      <c r="I40" s="140">
        <f t="shared" si="10"/>
        <v>0</v>
      </c>
      <c r="J40" s="140">
        <f t="shared" si="10"/>
        <v>0</v>
      </c>
    </row>
    <row r="41" spans="1:10" x14ac:dyDescent="0.2">
      <c r="A41" s="129"/>
      <c r="B41" s="129"/>
      <c r="C41" s="129"/>
      <c r="D41" s="129"/>
      <c r="E41" s="129"/>
      <c r="F41" s="129"/>
      <c r="G41" s="129"/>
      <c r="H41" s="129"/>
      <c r="I41" s="129"/>
      <c r="J41" s="129"/>
    </row>
    <row r="42" spans="1:10" x14ac:dyDescent="0.2">
      <c r="A42" s="137" t="s">
        <v>434</v>
      </c>
      <c r="B42" s="137"/>
      <c r="C42" s="137"/>
      <c r="D42" s="137"/>
      <c r="E42" s="147">
        <f t="shared" ref="E42:J42" si="11">SUM(E35,E40)</f>
        <v>308218.84999999998</v>
      </c>
      <c r="F42" s="138">
        <f t="shared" si="11"/>
        <v>330900</v>
      </c>
      <c r="G42" s="147">
        <f t="shared" si="11"/>
        <v>309200</v>
      </c>
      <c r="H42" s="147">
        <f t="shared" si="11"/>
        <v>339200</v>
      </c>
      <c r="I42" s="147">
        <f t="shared" si="11"/>
        <v>359200</v>
      </c>
      <c r="J42" s="147">
        <f t="shared" si="11"/>
        <v>341600</v>
      </c>
    </row>
    <row r="43" spans="1:10" x14ac:dyDescent="0.2">
      <c r="A43" s="129"/>
      <c r="B43" s="129"/>
      <c r="C43" s="129"/>
      <c r="D43" s="129"/>
      <c r="E43" s="129"/>
      <c r="F43" s="129"/>
      <c r="G43" s="129"/>
      <c r="H43" s="129"/>
      <c r="I43" s="129"/>
      <c r="J43" s="129"/>
    </row>
    <row r="44" spans="1:10" x14ac:dyDescent="0.2">
      <c r="A44" s="128" t="s">
        <v>288</v>
      </c>
      <c r="B44" s="128"/>
      <c r="C44" s="128"/>
      <c r="D44" s="128"/>
      <c r="E44" s="128"/>
      <c r="F44" s="128"/>
      <c r="G44" s="128"/>
      <c r="H44" s="128"/>
      <c r="I44" s="128"/>
      <c r="J44" s="128"/>
    </row>
    <row r="45" spans="1:10" x14ac:dyDescent="0.2">
      <c r="A45" s="137" t="s">
        <v>289</v>
      </c>
      <c r="B45" s="137"/>
      <c r="C45" s="137"/>
      <c r="D45" s="137"/>
      <c r="E45" s="149"/>
      <c r="F45" s="138"/>
      <c r="G45" s="149"/>
      <c r="H45" s="148"/>
      <c r="I45" s="149"/>
      <c r="J45" s="149"/>
    </row>
    <row r="46" spans="1:10" x14ac:dyDescent="0.2">
      <c r="A46" s="129"/>
      <c r="B46" s="129"/>
      <c r="C46" s="129"/>
      <c r="D46" s="129"/>
      <c r="E46" s="129"/>
      <c r="F46" s="129"/>
      <c r="G46" s="129"/>
      <c r="H46" s="129"/>
      <c r="I46" s="129"/>
      <c r="J46" s="129"/>
    </row>
    <row r="47" spans="1:10" x14ac:dyDescent="0.2">
      <c r="A47" s="150" t="s">
        <v>435</v>
      </c>
      <c r="B47" s="150"/>
      <c r="C47" s="150"/>
      <c r="D47" s="150"/>
      <c r="E47" s="150"/>
      <c r="F47" s="150"/>
      <c r="G47" s="150"/>
      <c r="H47" s="150"/>
      <c r="I47" s="150"/>
      <c r="J47" s="150"/>
    </row>
    <row r="48" spans="1:10" x14ac:dyDescent="0.2">
      <c r="A48" s="151" t="s">
        <v>291</v>
      </c>
      <c r="B48" s="151"/>
      <c r="C48" s="151"/>
      <c r="D48" s="101"/>
      <c r="E48" s="101"/>
      <c r="F48" s="101"/>
      <c r="G48" s="101"/>
      <c r="H48" s="101"/>
      <c r="I48" s="101"/>
      <c r="J48" s="101"/>
    </row>
    <row r="49" spans="1:10" ht="70.5" customHeight="1" x14ac:dyDescent="0.2">
      <c r="A49" s="129" t="s">
        <v>436</v>
      </c>
      <c r="B49" s="129"/>
      <c r="C49" s="129"/>
      <c r="D49" s="129"/>
      <c r="E49" s="129"/>
      <c r="F49" s="129"/>
      <c r="G49" s="129"/>
      <c r="H49" s="129"/>
      <c r="I49" s="129"/>
      <c r="J49" s="129"/>
    </row>
    <row r="50" spans="1:10" x14ac:dyDescent="0.2">
      <c r="A50" s="128" t="s">
        <v>293</v>
      </c>
      <c r="B50" s="128"/>
      <c r="C50" s="128"/>
      <c r="D50" s="128"/>
      <c r="E50" s="128"/>
      <c r="F50" s="128"/>
      <c r="G50" s="128"/>
      <c r="H50" s="128"/>
      <c r="I50" s="128"/>
      <c r="J50" s="128"/>
    </row>
    <row r="51" spans="1:10" ht="33.75" x14ac:dyDescent="0.2">
      <c r="A51" s="152" t="s">
        <v>243</v>
      </c>
      <c r="B51" s="151" t="s">
        <v>242</v>
      </c>
      <c r="C51" s="151"/>
      <c r="D51" s="151"/>
      <c r="E51" s="132" t="str">
        <f t="shared" ref="E51:J51" si="12">E19</f>
        <v>Actuals           2014-2015</v>
      </c>
      <c r="F51" s="132" t="str">
        <f t="shared" si="12"/>
        <v>Approved Estimates          2015-2016</v>
      </c>
      <c r="G51" s="132" t="str">
        <f t="shared" si="12"/>
        <v>Revised Estimates                 2015-2016</v>
      </c>
      <c r="H51" s="132" t="str">
        <f t="shared" si="12"/>
        <v>Budget Estimates      2016-2017</v>
      </c>
      <c r="I51" s="132" t="str">
        <f t="shared" si="12"/>
        <v>Forward Estimates     2017-2018</v>
      </c>
      <c r="J51" s="132" t="str">
        <f t="shared" si="12"/>
        <v>Forward Estimates     2018-2019</v>
      </c>
    </row>
    <row r="52" spans="1:10" x14ac:dyDescent="0.2">
      <c r="A52" s="133">
        <v>130</v>
      </c>
      <c r="B52" s="129" t="s">
        <v>437</v>
      </c>
      <c r="C52" s="101"/>
      <c r="D52" s="101"/>
      <c r="E52" s="211">
        <v>46037</v>
      </c>
      <c r="F52" s="209">
        <v>40000</v>
      </c>
      <c r="G52" s="211">
        <v>46000</v>
      </c>
      <c r="H52" s="210">
        <v>40000</v>
      </c>
      <c r="I52" s="211">
        <v>40000</v>
      </c>
      <c r="J52" s="287">
        <v>40000</v>
      </c>
    </row>
    <row r="53" spans="1:10" x14ac:dyDescent="0.2">
      <c r="A53" s="137" t="s">
        <v>433</v>
      </c>
      <c r="B53" s="137"/>
      <c r="C53" s="137"/>
      <c r="D53" s="137"/>
      <c r="E53" s="138">
        <f t="shared" ref="E53:J53" si="13">SUM(E52:E52)</f>
        <v>46037</v>
      </c>
      <c r="F53" s="138">
        <f t="shared" si="13"/>
        <v>40000</v>
      </c>
      <c r="G53" s="138">
        <f t="shared" si="13"/>
        <v>46000</v>
      </c>
      <c r="H53" s="138">
        <f t="shared" si="13"/>
        <v>40000</v>
      </c>
      <c r="I53" s="138">
        <f t="shared" si="13"/>
        <v>40000</v>
      </c>
      <c r="J53" s="138">
        <f t="shared" si="13"/>
        <v>40000</v>
      </c>
    </row>
    <row r="54" spans="1:10" x14ac:dyDescent="0.2">
      <c r="A54" s="129"/>
      <c r="B54" s="129"/>
      <c r="C54" s="129"/>
      <c r="D54" s="129"/>
      <c r="E54" s="129"/>
      <c r="F54" s="129"/>
      <c r="G54" s="129"/>
      <c r="H54" s="129"/>
      <c r="I54" s="129"/>
      <c r="J54" s="129"/>
    </row>
    <row r="55" spans="1:10" ht="11.25" customHeight="1" x14ac:dyDescent="0.2">
      <c r="A55" s="128" t="s">
        <v>284</v>
      </c>
      <c r="B55" s="128"/>
      <c r="C55" s="128"/>
      <c r="D55" s="128"/>
      <c r="E55" s="128"/>
      <c r="F55" s="128"/>
      <c r="G55" s="128"/>
      <c r="H55" s="128"/>
      <c r="I55" s="128"/>
      <c r="J55" s="128"/>
    </row>
    <row r="56" spans="1:10" ht="33.75" x14ac:dyDescent="0.2">
      <c r="A56" s="152" t="s">
        <v>243</v>
      </c>
      <c r="B56" s="151" t="s">
        <v>242</v>
      </c>
      <c r="C56" s="151"/>
      <c r="D56" s="151"/>
      <c r="E56" s="132" t="str">
        <f t="shared" ref="E56:J56" si="14">E19</f>
        <v>Actuals           2014-2015</v>
      </c>
      <c r="F56" s="132" t="str">
        <f t="shared" si="14"/>
        <v>Approved Estimates          2015-2016</v>
      </c>
      <c r="G56" s="132" t="str">
        <f t="shared" si="14"/>
        <v>Revised Estimates                 2015-2016</v>
      </c>
      <c r="H56" s="132" t="str">
        <f t="shared" si="14"/>
        <v>Budget Estimates      2016-2017</v>
      </c>
      <c r="I56" s="132" t="str">
        <f t="shared" si="14"/>
        <v>Forward Estimates     2017-2018</v>
      </c>
      <c r="J56" s="132" t="str">
        <f t="shared" si="14"/>
        <v>Forward Estimates     2018-2019</v>
      </c>
    </row>
    <row r="57" spans="1:10" x14ac:dyDescent="0.2">
      <c r="A57" s="151" t="s">
        <v>7</v>
      </c>
      <c r="B57" s="151"/>
      <c r="C57" s="151"/>
      <c r="D57" s="151"/>
      <c r="E57" s="151"/>
      <c r="F57" s="151"/>
      <c r="G57" s="151"/>
      <c r="H57" s="151"/>
      <c r="I57" s="151"/>
      <c r="J57" s="190"/>
    </row>
    <row r="58" spans="1:10" x14ac:dyDescent="0.2">
      <c r="A58" s="133">
        <v>210</v>
      </c>
      <c r="B58" s="134" t="s">
        <v>7</v>
      </c>
      <c r="C58" s="134"/>
      <c r="D58" s="134"/>
      <c r="E58" s="158">
        <v>165978.93</v>
      </c>
      <c r="F58" s="209">
        <v>171000</v>
      </c>
      <c r="G58" s="158">
        <v>188700</v>
      </c>
      <c r="H58" s="136">
        <v>188700</v>
      </c>
      <c r="I58" s="158">
        <v>189900</v>
      </c>
      <c r="J58" s="158">
        <v>191100</v>
      </c>
    </row>
    <row r="59" spans="1:10" x14ac:dyDescent="0.2">
      <c r="A59" s="133">
        <v>212</v>
      </c>
      <c r="B59" s="134" t="s">
        <v>9</v>
      </c>
      <c r="C59" s="134"/>
      <c r="D59" s="134"/>
      <c r="E59" s="158">
        <v>0</v>
      </c>
      <c r="F59" s="209">
        <v>0</v>
      </c>
      <c r="G59" s="158">
        <v>0</v>
      </c>
      <c r="H59" s="136">
        <v>0</v>
      </c>
      <c r="I59" s="158">
        <v>0</v>
      </c>
      <c r="J59" s="158">
        <v>0</v>
      </c>
    </row>
    <row r="60" spans="1:10" x14ac:dyDescent="0.2">
      <c r="A60" s="133">
        <v>216</v>
      </c>
      <c r="B60" s="134" t="s">
        <v>10</v>
      </c>
      <c r="C60" s="134"/>
      <c r="D60" s="134"/>
      <c r="E60" s="158">
        <v>87240.4</v>
      </c>
      <c r="F60" s="209">
        <v>100300</v>
      </c>
      <c r="G60" s="158">
        <v>73400</v>
      </c>
      <c r="H60" s="136">
        <v>100300</v>
      </c>
      <c r="I60" s="158">
        <v>100300</v>
      </c>
      <c r="J60" s="158">
        <v>100300</v>
      </c>
    </row>
    <row r="61" spans="1:10" x14ac:dyDescent="0.2">
      <c r="A61" s="133">
        <v>218</v>
      </c>
      <c r="B61" s="134" t="s">
        <v>294</v>
      </c>
      <c r="C61" s="134"/>
      <c r="D61" s="134"/>
      <c r="E61" s="158">
        <v>18750</v>
      </c>
      <c r="F61" s="209">
        <v>9400</v>
      </c>
      <c r="G61" s="158">
        <v>0</v>
      </c>
      <c r="H61" s="136">
        <v>0</v>
      </c>
      <c r="I61" s="158">
        <v>18800</v>
      </c>
      <c r="J61" s="158">
        <v>0</v>
      </c>
    </row>
    <row r="62" spans="1:10" x14ac:dyDescent="0.2">
      <c r="A62" s="196" t="s">
        <v>295</v>
      </c>
      <c r="B62" s="196"/>
      <c r="C62" s="196"/>
      <c r="D62" s="196"/>
      <c r="E62" s="197">
        <f t="shared" ref="E62:J62" si="15">SUM(E58:E61)</f>
        <v>271969.32999999996</v>
      </c>
      <c r="F62" s="197">
        <f t="shared" si="15"/>
        <v>280700</v>
      </c>
      <c r="G62" s="197">
        <f t="shared" si="15"/>
        <v>262100</v>
      </c>
      <c r="H62" s="197">
        <f t="shared" si="15"/>
        <v>289000</v>
      </c>
      <c r="I62" s="197">
        <f t="shared" si="15"/>
        <v>309000</v>
      </c>
      <c r="J62" s="197">
        <f t="shared" si="15"/>
        <v>291400</v>
      </c>
    </row>
    <row r="63" spans="1:10" ht="11.25" customHeight="1" x14ac:dyDescent="0.2">
      <c r="A63" s="193" t="s">
        <v>296</v>
      </c>
      <c r="B63" s="263"/>
      <c r="C63" s="263"/>
      <c r="D63" s="263"/>
      <c r="E63" s="263"/>
      <c r="F63" s="263"/>
      <c r="G63" s="263"/>
      <c r="H63" s="263"/>
      <c r="I63" s="263"/>
      <c r="J63" s="195"/>
    </row>
    <row r="64" spans="1:10" x14ac:dyDescent="0.2">
      <c r="A64" s="198">
        <v>226</v>
      </c>
      <c r="B64" s="199" t="s">
        <v>207</v>
      </c>
      <c r="C64" s="199"/>
      <c r="D64" s="199"/>
      <c r="E64" s="288">
        <v>3239.3</v>
      </c>
      <c r="F64" s="288">
        <v>4200</v>
      </c>
      <c r="G64" s="288">
        <v>3600</v>
      </c>
      <c r="H64" s="201">
        <v>4200</v>
      </c>
      <c r="I64" s="288">
        <v>4200</v>
      </c>
      <c r="J64" s="288">
        <v>4200</v>
      </c>
    </row>
    <row r="65" spans="1:10" x14ac:dyDescent="0.2">
      <c r="A65" s="133">
        <v>228</v>
      </c>
      <c r="B65" s="134" t="s">
        <v>208</v>
      </c>
      <c r="C65" s="134"/>
      <c r="D65" s="134"/>
      <c r="E65" s="158">
        <v>3991.55</v>
      </c>
      <c r="F65" s="158">
        <v>5500</v>
      </c>
      <c r="G65" s="158">
        <v>7000</v>
      </c>
      <c r="H65" s="136">
        <v>5500</v>
      </c>
      <c r="I65" s="158">
        <v>5500</v>
      </c>
      <c r="J65" s="158">
        <v>5500</v>
      </c>
    </row>
    <row r="66" spans="1:10" x14ac:dyDescent="0.2">
      <c r="A66" s="133">
        <v>236</v>
      </c>
      <c r="B66" s="134" t="s">
        <v>213</v>
      </c>
      <c r="C66" s="134"/>
      <c r="D66" s="134"/>
      <c r="E66" s="158">
        <v>27936.61</v>
      </c>
      <c r="F66" s="158">
        <v>30000</v>
      </c>
      <c r="G66" s="158">
        <v>29000</v>
      </c>
      <c r="H66" s="136">
        <v>30000</v>
      </c>
      <c r="I66" s="158">
        <v>30000</v>
      </c>
      <c r="J66" s="158">
        <v>30000</v>
      </c>
    </row>
    <row r="67" spans="1:10" x14ac:dyDescent="0.2">
      <c r="A67" s="133">
        <v>246</v>
      </c>
      <c r="B67" s="134" t="s">
        <v>218</v>
      </c>
      <c r="C67" s="134"/>
      <c r="D67" s="134"/>
      <c r="E67" s="158">
        <v>90</v>
      </c>
      <c r="F67" s="158">
        <v>500</v>
      </c>
      <c r="G67" s="158">
        <v>0</v>
      </c>
      <c r="H67" s="136">
        <v>500</v>
      </c>
      <c r="I67" s="158">
        <v>500</v>
      </c>
      <c r="J67" s="158">
        <v>500</v>
      </c>
    </row>
    <row r="68" spans="1:10" x14ac:dyDescent="0.2">
      <c r="A68" s="133">
        <v>275</v>
      </c>
      <c r="B68" s="134" t="s">
        <v>228</v>
      </c>
      <c r="C68" s="134"/>
      <c r="D68" s="134"/>
      <c r="E68" s="158">
        <v>992.06</v>
      </c>
      <c r="F68" s="158">
        <v>10000</v>
      </c>
      <c r="G68" s="158">
        <v>7500</v>
      </c>
      <c r="H68" s="136">
        <v>10000</v>
      </c>
      <c r="I68" s="158">
        <v>10000</v>
      </c>
      <c r="J68" s="158">
        <v>10000</v>
      </c>
    </row>
    <row r="69" spans="1:10" x14ac:dyDescent="0.2">
      <c r="A69" s="156" t="s">
        <v>298</v>
      </c>
      <c r="B69" s="156"/>
      <c r="C69" s="156"/>
      <c r="D69" s="156"/>
      <c r="E69" s="157">
        <f t="shared" ref="E69:J69" si="16">SUM(E64:E68)</f>
        <v>36249.519999999997</v>
      </c>
      <c r="F69" s="264">
        <f t="shared" si="16"/>
        <v>50200</v>
      </c>
      <c r="G69" s="157">
        <f t="shared" si="16"/>
        <v>47100</v>
      </c>
      <c r="H69" s="157">
        <f t="shared" si="16"/>
        <v>50200</v>
      </c>
      <c r="I69" s="157">
        <f t="shared" si="16"/>
        <v>50200</v>
      </c>
      <c r="J69" s="157">
        <f t="shared" si="16"/>
        <v>50200</v>
      </c>
    </row>
    <row r="70" spans="1:10" x14ac:dyDescent="0.2">
      <c r="A70" s="159" t="s">
        <v>299</v>
      </c>
      <c r="B70" s="159"/>
      <c r="C70" s="159"/>
      <c r="D70" s="159"/>
      <c r="E70" s="160">
        <f t="shared" ref="E70:J70" si="17">SUM(E62,E69)</f>
        <v>308218.84999999998</v>
      </c>
      <c r="F70" s="160">
        <f t="shared" si="17"/>
        <v>330900</v>
      </c>
      <c r="G70" s="160">
        <f t="shared" si="17"/>
        <v>309200</v>
      </c>
      <c r="H70" s="160">
        <f t="shared" si="17"/>
        <v>339200</v>
      </c>
      <c r="I70" s="160">
        <f t="shared" si="17"/>
        <v>359200</v>
      </c>
      <c r="J70" s="160">
        <f t="shared" si="17"/>
        <v>341600</v>
      </c>
    </row>
    <row r="71" spans="1:10" ht="9" customHeight="1" x14ac:dyDescent="0.2">
      <c r="A71" s="289"/>
      <c r="B71" s="289"/>
      <c r="C71" s="289"/>
      <c r="D71" s="289"/>
      <c r="E71" s="289"/>
      <c r="F71" s="289"/>
      <c r="G71" s="289"/>
      <c r="H71" s="289"/>
      <c r="I71" s="289"/>
      <c r="J71" s="289"/>
    </row>
    <row r="72" spans="1:10" ht="10.5" customHeight="1" x14ac:dyDescent="0.2">
      <c r="A72" s="162" t="s">
        <v>15</v>
      </c>
      <c r="B72" s="162"/>
      <c r="C72" s="162"/>
      <c r="D72" s="162"/>
      <c r="E72" s="162"/>
      <c r="F72" s="162"/>
      <c r="G72" s="162"/>
      <c r="H72" s="162"/>
      <c r="I72" s="162"/>
      <c r="J72" s="162"/>
    </row>
    <row r="73" spans="1:10" ht="17.45" customHeight="1" x14ac:dyDescent="0.2">
      <c r="A73" s="131" t="s">
        <v>242</v>
      </c>
      <c r="B73" s="131"/>
      <c r="C73" s="131"/>
      <c r="D73" s="131"/>
      <c r="E73" s="128" t="str">
        <f t="shared" ref="E73:J73" si="18">E19</f>
        <v>Actuals           2014-2015</v>
      </c>
      <c r="F73" s="128" t="str">
        <f t="shared" si="18"/>
        <v>Approved Estimates          2015-2016</v>
      </c>
      <c r="G73" s="128" t="str">
        <f t="shared" si="18"/>
        <v>Revised Estimates                 2015-2016</v>
      </c>
      <c r="H73" s="128" t="str">
        <f t="shared" si="18"/>
        <v>Budget Estimates      2016-2017</v>
      </c>
      <c r="I73" s="128" t="str">
        <f t="shared" si="18"/>
        <v>Forward Estimates     2017-2018</v>
      </c>
      <c r="J73" s="128" t="str">
        <f t="shared" si="18"/>
        <v>Forward Estimates     2018-2019</v>
      </c>
    </row>
    <row r="74" spans="1:10" ht="16.5" customHeight="1" x14ac:dyDescent="0.2">
      <c r="A74" s="130" t="s">
        <v>243</v>
      </c>
      <c r="B74" s="130" t="s">
        <v>244</v>
      </c>
      <c r="C74" s="131" t="s">
        <v>245</v>
      </c>
      <c r="D74" s="131"/>
      <c r="E74" s="101"/>
      <c r="F74" s="101"/>
      <c r="G74" s="101"/>
      <c r="H74" s="101"/>
      <c r="I74" s="101"/>
      <c r="J74" s="101"/>
    </row>
    <row r="75" spans="1:10" x14ac:dyDescent="0.2">
      <c r="A75" s="163"/>
      <c r="B75" s="163"/>
      <c r="C75" s="156"/>
      <c r="D75" s="156"/>
      <c r="E75" s="158"/>
      <c r="F75" s="209"/>
      <c r="G75" s="158"/>
      <c r="H75" s="136"/>
      <c r="I75" s="158"/>
      <c r="J75" s="135"/>
    </row>
    <row r="76" spans="1:10" x14ac:dyDescent="0.2">
      <c r="A76" s="163"/>
      <c r="B76" s="163"/>
      <c r="C76" s="156"/>
      <c r="D76" s="156"/>
      <c r="E76" s="158"/>
      <c r="F76" s="209"/>
      <c r="G76" s="158"/>
      <c r="H76" s="136"/>
      <c r="I76" s="158"/>
      <c r="J76" s="135"/>
    </row>
    <row r="77" spans="1:10" x14ac:dyDescent="0.2">
      <c r="A77" s="137" t="s">
        <v>15</v>
      </c>
      <c r="B77" s="137"/>
      <c r="C77" s="137"/>
      <c r="D77" s="137"/>
      <c r="E77" s="164">
        <v>0</v>
      </c>
      <c r="F77" s="164">
        <v>0</v>
      </c>
      <c r="G77" s="164">
        <v>0</v>
      </c>
      <c r="H77" s="164">
        <v>0</v>
      </c>
      <c r="I77" s="164">
        <v>0</v>
      </c>
      <c r="J77" s="164">
        <v>0</v>
      </c>
    </row>
    <row r="78" spans="1:10" ht="8.25" customHeight="1" x14ac:dyDescent="0.2">
      <c r="A78" s="290"/>
      <c r="B78" s="290"/>
      <c r="C78" s="290"/>
      <c r="D78" s="290"/>
      <c r="E78" s="290"/>
      <c r="F78" s="290"/>
      <c r="G78" s="290"/>
      <c r="H78" s="290"/>
      <c r="I78" s="290"/>
      <c r="J78" s="290"/>
    </row>
    <row r="79" spans="1:10" x14ac:dyDescent="0.2">
      <c r="A79" s="161" t="s">
        <v>288</v>
      </c>
      <c r="B79" s="161"/>
      <c r="C79" s="161"/>
      <c r="D79" s="161"/>
      <c r="E79" s="161"/>
      <c r="F79" s="202"/>
      <c r="G79" s="202"/>
      <c r="H79" s="202"/>
      <c r="I79" s="202"/>
      <c r="J79" s="202"/>
    </row>
    <row r="80" spans="1:10" x14ac:dyDescent="0.2">
      <c r="A80" s="131" t="s">
        <v>300</v>
      </c>
      <c r="B80" s="131"/>
      <c r="C80" s="131"/>
      <c r="D80" s="132" t="s">
        <v>301</v>
      </c>
      <c r="E80" s="291" t="s">
        <v>302</v>
      </c>
      <c r="F80" s="292"/>
      <c r="G80" s="220"/>
      <c r="H80" s="220"/>
      <c r="I80" s="220"/>
      <c r="J80" s="221"/>
    </row>
    <row r="81" spans="1:10" x14ac:dyDescent="0.2">
      <c r="A81" s="134" t="str">
        <f>Establishment!D42</f>
        <v>Magistrate (Chief)</v>
      </c>
      <c r="B81" s="134"/>
      <c r="C81" s="134"/>
      <c r="D81" s="133" t="str">
        <f>Establishment!E42</f>
        <v>R6</v>
      </c>
      <c r="E81" s="268">
        <f>Establishment!C42</f>
        <v>1</v>
      </c>
      <c r="F81" s="293"/>
      <c r="G81" s="171"/>
      <c r="H81" s="171"/>
      <c r="I81" s="171"/>
      <c r="J81" s="174"/>
    </row>
    <row r="82" spans="1:10" x14ac:dyDescent="0.2">
      <c r="A82" s="134" t="str">
        <f>Establishment!D43</f>
        <v>Clerical Officer (Snr)</v>
      </c>
      <c r="B82" s="134"/>
      <c r="C82" s="134"/>
      <c r="D82" s="133" t="str">
        <f>Establishment!E43</f>
        <v>R33-29</v>
      </c>
      <c r="E82" s="268">
        <f>Establishment!C43</f>
        <v>1</v>
      </c>
      <c r="F82" s="293"/>
      <c r="G82" s="171"/>
      <c r="H82" s="171"/>
      <c r="I82" s="171"/>
      <c r="J82" s="174"/>
    </row>
    <row r="83" spans="1:10" x14ac:dyDescent="0.2">
      <c r="A83" s="134" t="str">
        <f>Establishment!D44</f>
        <v>Clerical Officer</v>
      </c>
      <c r="B83" s="134"/>
      <c r="C83" s="134"/>
      <c r="D83" s="133" t="str">
        <f>Establishment!E44</f>
        <v>R46-34</v>
      </c>
      <c r="E83" s="268">
        <f>Establishment!C44</f>
        <v>2</v>
      </c>
      <c r="F83" s="293"/>
      <c r="G83" s="171"/>
      <c r="H83" s="171"/>
      <c r="I83" s="171"/>
      <c r="J83" s="174"/>
    </row>
    <row r="84" spans="1:10" x14ac:dyDescent="0.2">
      <c r="A84" s="159" t="s">
        <v>303</v>
      </c>
      <c r="B84" s="159"/>
      <c r="C84" s="159"/>
      <c r="D84" s="159"/>
      <c r="E84" s="294">
        <f>SUM(E81:E83)</f>
        <v>4</v>
      </c>
      <c r="F84" s="295"/>
      <c r="G84" s="177"/>
      <c r="H84" s="177"/>
      <c r="I84" s="177"/>
      <c r="J84" s="178"/>
    </row>
    <row r="85" spans="1:10" x14ac:dyDescent="0.2">
      <c r="A85" s="129"/>
      <c r="B85" s="129"/>
      <c r="C85" s="129"/>
      <c r="D85" s="129"/>
      <c r="E85" s="129"/>
      <c r="F85" s="179"/>
      <c r="G85" s="179"/>
      <c r="H85" s="179"/>
      <c r="I85" s="179"/>
      <c r="J85" s="179"/>
    </row>
    <row r="86" spans="1:10" x14ac:dyDescent="0.2">
      <c r="A86" s="180" t="s">
        <v>304</v>
      </c>
      <c r="B86" s="180"/>
      <c r="C86" s="180"/>
      <c r="D86" s="180"/>
      <c r="E86" s="180"/>
      <c r="F86" s="180"/>
      <c r="G86" s="180"/>
      <c r="H86" s="180"/>
      <c r="I86" s="180"/>
      <c r="J86" s="180"/>
    </row>
    <row r="87" spans="1:10" x14ac:dyDescent="0.2">
      <c r="A87" s="181" t="s">
        <v>305</v>
      </c>
      <c r="B87" s="181"/>
      <c r="C87" s="181"/>
      <c r="D87" s="181"/>
      <c r="E87" s="181"/>
      <c r="F87" s="181"/>
      <c r="G87" s="181"/>
      <c r="H87" s="181"/>
      <c r="I87" s="181"/>
      <c r="J87" s="181"/>
    </row>
    <row r="88" spans="1:10" x14ac:dyDescent="0.2">
      <c r="A88" s="296" t="s">
        <v>438</v>
      </c>
      <c r="B88" s="296"/>
      <c r="C88" s="296"/>
      <c r="D88" s="296"/>
      <c r="E88" s="296"/>
      <c r="F88" s="296"/>
      <c r="G88" s="296"/>
      <c r="H88" s="296"/>
      <c r="I88" s="296"/>
      <c r="J88" s="296"/>
    </row>
    <row r="89" spans="1:10" x14ac:dyDescent="0.2">
      <c r="A89" s="296" t="s">
        <v>439</v>
      </c>
      <c r="B89" s="296" t="s">
        <v>440</v>
      </c>
      <c r="C89" s="296"/>
      <c r="D89" s="296"/>
      <c r="E89" s="296"/>
      <c r="F89" s="296"/>
      <c r="G89" s="296"/>
      <c r="H89" s="296"/>
      <c r="I89" s="296"/>
      <c r="J89" s="296"/>
    </row>
    <row r="90" spans="1:10" x14ac:dyDescent="0.2">
      <c r="A90" s="296" t="s">
        <v>441</v>
      </c>
      <c r="B90" s="296" t="s">
        <v>442</v>
      </c>
      <c r="C90" s="296"/>
      <c r="D90" s="296"/>
      <c r="E90" s="296"/>
      <c r="F90" s="296"/>
      <c r="G90" s="296"/>
      <c r="H90" s="296"/>
      <c r="I90" s="296"/>
      <c r="J90" s="296"/>
    </row>
    <row r="91" spans="1:10" x14ac:dyDescent="0.2">
      <c r="A91" s="129"/>
      <c r="B91" s="129"/>
      <c r="C91" s="129"/>
      <c r="D91" s="129"/>
      <c r="E91" s="129"/>
      <c r="F91" s="129"/>
      <c r="G91" s="129"/>
      <c r="H91" s="129"/>
      <c r="I91" s="129"/>
      <c r="J91" s="129"/>
    </row>
    <row r="92" spans="1:10" x14ac:dyDescent="0.2">
      <c r="A92" s="129"/>
      <c r="B92" s="129"/>
      <c r="C92" s="129"/>
      <c r="D92" s="129"/>
      <c r="E92" s="129"/>
      <c r="F92" s="129"/>
      <c r="G92" s="129"/>
      <c r="H92" s="129"/>
      <c r="I92" s="129"/>
      <c r="J92" s="129"/>
    </row>
    <row r="93" spans="1:10" x14ac:dyDescent="0.2">
      <c r="A93" s="129"/>
      <c r="B93" s="129"/>
      <c r="C93" s="129"/>
      <c r="D93" s="129"/>
      <c r="E93" s="129"/>
      <c r="F93" s="129"/>
      <c r="G93" s="129"/>
      <c r="H93" s="129"/>
      <c r="I93" s="129"/>
      <c r="J93" s="129"/>
    </row>
    <row r="94" spans="1:10" x14ac:dyDescent="0.2">
      <c r="A94" s="183" t="s">
        <v>415</v>
      </c>
      <c r="B94" s="183"/>
      <c r="C94" s="183"/>
      <c r="D94" s="183"/>
      <c r="E94" s="183"/>
      <c r="F94" s="183"/>
      <c r="G94" s="183"/>
      <c r="H94" s="183"/>
      <c r="I94" s="183"/>
      <c r="J94" s="183"/>
    </row>
    <row r="95" spans="1:10" x14ac:dyDescent="0.2">
      <c r="A95" s="129"/>
      <c r="B95" s="129"/>
      <c r="C95" s="129"/>
      <c r="D95" s="129"/>
      <c r="E95" s="129"/>
      <c r="F95" s="129"/>
      <c r="G95" s="129"/>
      <c r="H95" s="129"/>
      <c r="I95" s="129"/>
      <c r="J95" s="129"/>
    </row>
    <row r="96" spans="1:10" x14ac:dyDescent="0.2">
      <c r="A96" s="129"/>
      <c r="B96" s="129"/>
      <c r="C96" s="129"/>
      <c r="D96" s="129"/>
      <c r="E96" s="129"/>
      <c r="F96" s="129"/>
      <c r="G96" s="129"/>
      <c r="H96" s="129"/>
      <c r="I96" s="129"/>
      <c r="J96" s="129"/>
    </row>
    <row r="97" spans="1:10" x14ac:dyDescent="0.2">
      <c r="A97" s="129"/>
      <c r="B97" s="129"/>
      <c r="C97" s="129"/>
      <c r="D97" s="129"/>
      <c r="E97" s="129"/>
      <c r="F97" s="129"/>
      <c r="G97" s="129"/>
      <c r="H97" s="129"/>
      <c r="I97" s="129"/>
      <c r="J97" s="129"/>
    </row>
    <row r="98" spans="1:10" x14ac:dyDescent="0.2">
      <c r="A98" s="129"/>
      <c r="B98" s="129"/>
      <c r="C98" s="129"/>
      <c r="D98" s="129"/>
      <c r="E98" s="129"/>
      <c r="F98" s="129"/>
      <c r="G98" s="129"/>
      <c r="H98" s="129"/>
      <c r="I98" s="129"/>
      <c r="J98" s="129"/>
    </row>
    <row r="99" spans="1:10" ht="22.5" x14ac:dyDescent="0.2">
      <c r="A99" s="180" t="s">
        <v>315</v>
      </c>
      <c r="B99" s="180"/>
      <c r="C99" s="180"/>
      <c r="D99" s="180"/>
      <c r="E99" s="180"/>
      <c r="F99" s="184" t="s">
        <v>2995</v>
      </c>
      <c r="G99" s="184" t="s">
        <v>2996</v>
      </c>
      <c r="H99" s="184" t="s">
        <v>2997</v>
      </c>
      <c r="I99" s="184" t="s">
        <v>2998</v>
      </c>
      <c r="J99" s="184" t="s">
        <v>2999</v>
      </c>
    </row>
    <row r="100" spans="1:10" x14ac:dyDescent="0.2">
      <c r="A100" s="180" t="s">
        <v>316</v>
      </c>
      <c r="B100" s="180"/>
      <c r="C100" s="180"/>
      <c r="D100" s="180"/>
      <c r="E100" s="180"/>
      <c r="F100" s="180"/>
      <c r="G100" s="180"/>
      <c r="H100" s="180"/>
      <c r="I100" s="180"/>
      <c r="J100" s="180"/>
    </row>
    <row r="101" spans="1:10" x14ac:dyDescent="0.2">
      <c r="A101" s="296" t="s">
        <v>443</v>
      </c>
      <c r="B101" s="296"/>
      <c r="C101" s="296"/>
      <c r="D101" s="296"/>
      <c r="E101" s="296"/>
      <c r="F101" s="273">
        <v>303</v>
      </c>
      <c r="G101" s="297" t="s">
        <v>444</v>
      </c>
      <c r="H101" s="190"/>
      <c r="I101" s="190"/>
      <c r="J101" s="190"/>
    </row>
    <row r="102" spans="1:10" ht="14.25" customHeight="1" x14ac:dyDescent="0.2">
      <c r="A102" s="298"/>
      <c r="B102" s="299"/>
      <c r="C102" s="299"/>
      <c r="D102" s="299"/>
      <c r="E102" s="300"/>
      <c r="F102" s="273"/>
      <c r="G102" s="190"/>
      <c r="H102" s="190"/>
      <c r="I102" s="190"/>
      <c r="J102" s="190"/>
    </row>
    <row r="103" spans="1:10" ht="22.5" customHeight="1" x14ac:dyDescent="0.2">
      <c r="A103" s="180" t="s">
        <v>324</v>
      </c>
      <c r="B103" s="180"/>
      <c r="C103" s="180"/>
      <c r="D103" s="180"/>
      <c r="E103" s="180"/>
      <c r="F103" s="180"/>
      <c r="G103" s="180"/>
      <c r="H103" s="180"/>
      <c r="I103" s="180"/>
      <c r="J103" s="180"/>
    </row>
    <row r="104" spans="1:10" x14ac:dyDescent="0.2">
      <c r="A104" s="296" t="s">
        <v>445</v>
      </c>
      <c r="B104" s="296"/>
      <c r="C104" s="296"/>
      <c r="D104" s="296"/>
      <c r="E104" s="296"/>
      <c r="F104" s="273">
        <v>344</v>
      </c>
      <c r="G104" s="297" t="s">
        <v>446</v>
      </c>
      <c r="H104" s="190"/>
      <c r="I104" s="190"/>
      <c r="J104" s="190"/>
    </row>
    <row r="105" spans="1:10" x14ac:dyDescent="0.2">
      <c r="A105" s="129" t="s">
        <v>447</v>
      </c>
      <c r="B105" s="129"/>
      <c r="C105" s="129"/>
      <c r="D105" s="129"/>
      <c r="E105" s="129"/>
      <c r="F105" s="129"/>
      <c r="G105" s="129"/>
      <c r="H105" s="129"/>
      <c r="I105" s="129"/>
      <c r="J105" s="129"/>
    </row>
    <row r="107" spans="1:10" x14ac:dyDescent="0.2">
      <c r="A107" s="222"/>
      <c r="B107" s="222"/>
      <c r="C107" s="222"/>
      <c r="D107" s="222"/>
      <c r="E107" s="274" t="s">
        <v>382</v>
      </c>
      <c r="F107" s="229"/>
      <c r="G107" s="222"/>
      <c r="H107" s="222"/>
      <c r="I107" s="222"/>
      <c r="J107" s="223"/>
    </row>
    <row r="108" spans="1:10" ht="34.5" thickBot="1" x14ac:dyDescent="0.25">
      <c r="A108" s="224"/>
      <c r="B108" s="224" t="s">
        <v>188</v>
      </c>
      <c r="C108" s="225"/>
      <c r="D108" s="226"/>
      <c r="E108" s="184" t="str">
        <f t="shared" ref="E108:J108" si="19">E19</f>
        <v>Actuals           2014-2015</v>
      </c>
      <c r="F108" s="184" t="str">
        <f t="shared" si="19"/>
        <v>Approved Estimates          2015-2016</v>
      </c>
      <c r="G108" s="184" t="str">
        <f t="shared" si="19"/>
        <v>Revised Estimates                 2015-2016</v>
      </c>
      <c r="H108" s="184" t="str">
        <f t="shared" si="19"/>
        <v>Budget Estimates      2016-2017</v>
      </c>
      <c r="I108" s="184" t="str">
        <f t="shared" si="19"/>
        <v>Forward Estimates     2017-2018</v>
      </c>
      <c r="J108" s="184" t="str">
        <f t="shared" si="19"/>
        <v>Forward Estimates     2018-2019</v>
      </c>
    </row>
    <row r="109" spans="1:10" x14ac:dyDescent="0.2">
      <c r="A109" s="227"/>
      <c r="B109" s="227"/>
      <c r="C109" s="227"/>
      <c r="D109" s="227"/>
      <c r="E109" s="227"/>
      <c r="F109" s="227"/>
      <c r="G109" s="227"/>
      <c r="H109" s="227"/>
      <c r="I109" s="228"/>
      <c r="J109" s="227"/>
    </row>
    <row r="110" spans="1:10" x14ac:dyDescent="0.2">
      <c r="A110" s="229" t="s">
        <v>7</v>
      </c>
      <c r="B110" s="229"/>
      <c r="C110" s="229"/>
      <c r="D110" s="229"/>
      <c r="E110" s="222"/>
      <c r="F110" s="230"/>
      <c r="G110" s="230"/>
      <c r="H110" s="230"/>
      <c r="I110" s="222"/>
      <c r="J110" s="222"/>
    </row>
    <row r="111" spans="1:10" x14ac:dyDescent="0.2">
      <c r="A111" s="222"/>
      <c r="B111" s="222" t="s">
        <v>94</v>
      </c>
      <c r="C111" s="222"/>
      <c r="D111" s="222"/>
      <c r="E111" s="231">
        <f t="shared" ref="E111:J111" si="20">E58</f>
        <v>165978.93</v>
      </c>
      <c r="F111" s="231">
        <f t="shared" si="20"/>
        <v>171000</v>
      </c>
      <c r="G111" s="231">
        <f t="shared" si="20"/>
        <v>188700</v>
      </c>
      <c r="H111" s="231">
        <f t="shared" si="20"/>
        <v>188700</v>
      </c>
      <c r="I111" s="231">
        <f t="shared" si="20"/>
        <v>189900</v>
      </c>
      <c r="J111" s="231">
        <f t="shared" si="20"/>
        <v>191100</v>
      </c>
    </row>
    <row r="112" spans="1:10" x14ac:dyDescent="0.2">
      <c r="A112" s="222"/>
      <c r="B112" s="222"/>
      <c r="C112" s="229" t="s">
        <v>385</v>
      </c>
      <c r="D112" s="235"/>
      <c r="E112" s="236">
        <f t="shared" ref="E112:J112" si="21">SUM(E111:E111)</f>
        <v>165978.93</v>
      </c>
      <c r="F112" s="236">
        <f t="shared" si="21"/>
        <v>171000</v>
      </c>
      <c r="G112" s="236">
        <f t="shared" si="21"/>
        <v>188700</v>
      </c>
      <c r="H112" s="236">
        <f t="shared" si="21"/>
        <v>188700</v>
      </c>
      <c r="I112" s="236">
        <f t="shared" si="21"/>
        <v>189900</v>
      </c>
      <c r="J112" s="236">
        <f t="shared" si="21"/>
        <v>191100</v>
      </c>
    </row>
    <row r="113" spans="1:10" ht="15" thickBot="1" x14ac:dyDescent="0.25">
      <c r="A113" s="222"/>
      <c r="B113" s="222"/>
      <c r="C113" s="229"/>
      <c r="D113" s="235"/>
      <c r="E113" s="275"/>
      <c r="F113" s="275"/>
      <c r="G113" s="275"/>
      <c r="H113" s="275"/>
      <c r="I113" s="275"/>
      <c r="J113" s="275"/>
    </row>
    <row r="114" spans="1:10" x14ac:dyDescent="0.2">
      <c r="A114" s="237" t="s">
        <v>196</v>
      </c>
      <c r="B114" s="237"/>
      <c r="C114" s="233"/>
      <c r="D114" s="238"/>
      <c r="E114" s="242"/>
      <c r="F114" s="242"/>
      <c r="G114" s="242"/>
      <c r="H114" s="227"/>
      <c r="I114" s="227"/>
      <c r="J114" s="227"/>
    </row>
    <row r="115" spans="1:10" x14ac:dyDescent="0.2">
      <c r="A115" s="222"/>
      <c r="B115" s="222" t="s">
        <v>94</v>
      </c>
      <c r="C115" s="222"/>
      <c r="D115" s="238"/>
      <c r="E115" s="231">
        <f t="shared" ref="E115:J115" si="22">E59</f>
        <v>0</v>
      </c>
      <c r="F115" s="231">
        <f t="shared" si="22"/>
        <v>0</v>
      </c>
      <c r="G115" s="231">
        <f t="shared" si="22"/>
        <v>0</v>
      </c>
      <c r="H115" s="231">
        <f t="shared" si="22"/>
        <v>0</v>
      </c>
      <c r="I115" s="231">
        <f t="shared" si="22"/>
        <v>0</v>
      </c>
      <c r="J115" s="231">
        <f t="shared" si="22"/>
        <v>0</v>
      </c>
    </row>
    <row r="116" spans="1:10" x14ac:dyDescent="0.2">
      <c r="A116" s="229"/>
      <c r="B116" s="229"/>
      <c r="C116" s="229" t="s">
        <v>386</v>
      </c>
      <c r="D116" s="239"/>
      <c r="E116" s="236">
        <f t="shared" ref="E116:J116" si="23">SUM(E115:E115)</f>
        <v>0</v>
      </c>
      <c r="F116" s="236">
        <f t="shared" si="23"/>
        <v>0</v>
      </c>
      <c r="G116" s="236">
        <f t="shared" si="23"/>
        <v>0</v>
      </c>
      <c r="H116" s="236">
        <f t="shared" si="23"/>
        <v>0</v>
      </c>
      <c r="I116" s="236">
        <f t="shared" si="23"/>
        <v>0</v>
      </c>
      <c r="J116" s="236">
        <f t="shared" si="23"/>
        <v>0</v>
      </c>
    </row>
    <row r="117" spans="1:10" ht="15" thickBot="1" x14ac:dyDescent="0.25">
      <c r="A117" s="229"/>
      <c r="B117" s="229"/>
      <c r="C117" s="229"/>
      <c r="D117" s="239"/>
      <c r="E117" s="275"/>
      <c r="F117" s="275"/>
      <c r="G117" s="275"/>
      <c r="H117" s="275"/>
      <c r="I117" s="275"/>
      <c r="J117" s="275"/>
    </row>
    <row r="118" spans="1:10" x14ac:dyDescent="0.2">
      <c r="A118" s="229" t="s">
        <v>387</v>
      </c>
      <c r="B118" s="222"/>
      <c r="C118" s="222"/>
      <c r="D118" s="240"/>
      <c r="E118" s="241"/>
      <c r="F118" s="241"/>
      <c r="G118" s="241"/>
      <c r="H118" s="241"/>
      <c r="I118" s="241"/>
      <c r="J118" s="241"/>
    </row>
    <row r="119" spans="1:10" x14ac:dyDescent="0.2">
      <c r="A119" s="222"/>
      <c r="B119" s="222" t="s">
        <v>94</v>
      </c>
      <c r="C119" s="222"/>
      <c r="D119" s="238"/>
      <c r="E119" s="231">
        <f t="shared" ref="E119:J119" si="24">E60</f>
        <v>87240.4</v>
      </c>
      <c r="F119" s="231">
        <f t="shared" si="24"/>
        <v>100300</v>
      </c>
      <c r="G119" s="231">
        <f t="shared" si="24"/>
        <v>73400</v>
      </c>
      <c r="H119" s="231">
        <f t="shared" si="24"/>
        <v>100300</v>
      </c>
      <c r="I119" s="231">
        <f t="shared" si="24"/>
        <v>100300</v>
      </c>
      <c r="J119" s="231">
        <f t="shared" si="24"/>
        <v>100300</v>
      </c>
    </row>
    <row r="120" spans="1:10" ht="15" thickBot="1" x14ac:dyDescent="0.25">
      <c r="A120" s="222"/>
      <c r="B120" s="222"/>
      <c r="C120" s="229" t="s">
        <v>388</v>
      </c>
      <c r="D120" s="240"/>
      <c r="E120" s="236">
        <f t="shared" ref="E120:J120" si="25">SUM(E119:E119)</f>
        <v>87240.4</v>
      </c>
      <c r="F120" s="236">
        <f t="shared" si="25"/>
        <v>100300</v>
      </c>
      <c r="G120" s="236">
        <f t="shared" si="25"/>
        <v>73400</v>
      </c>
      <c r="H120" s="236">
        <f t="shared" si="25"/>
        <v>100300</v>
      </c>
      <c r="I120" s="236">
        <f t="shared" si="25"/>
        <v>100300</v>
      </c>
      <c r="J120" s="236">
        <f t="shared" si="25"/>
        <v>100300</v>
      </c>
    </row>
    <row r="121" spans="1:10" x14ac:dyDescent="0.2">
      <c r="A121" s="240"/>
      <c r="B121" s="229"/>
      <c r="C121" s="222"/>
      <c r="D121" s="240"/>
      <c r="E121" s="242"/>
      <c r="F121" s="242"/>
      <c r="G121" s="242"/>
      <c r="H121" s="242"/>
      <c r="I121" s="242"/>
      <c r="J121" s="242"/>
    </row>
    <row r="122" spans="1:10" x14ac:dyDescent="0.2">
      <c r="A122" s="229" t="s">
        <v>198</v>
      </c>
      <c r="B122" s="222"/>
      <c r="C122" s="222"/>
      <c r="D122" s="240"/>
      <c r="E122" s="230"/>
      <c r="F122" s="230"/>
      <c r="G122" s="230"/>
      <c r="H122" s="230"/>
      <c r="I122" s="230"/>
      <c r="J122" s="230"/>
    </row>
    <row r="123" spans="1:10" x14ac:dyDescent="0.2">
      <c r="A123" s="222"/>
      <c r="B123" s="222" t="s">
        <v>94</v>
      </c>
      <c r="C123" s="222"/>
      <c r="D123" s="240"/>
      <c r="E123" s="231">
        <f t="shared" ref="E123:J123" si="26">E61</f>
        <v>18750</v>
      </c>
      <c r="F123" s="231">
        <f t="shared" si="26"/>
        <v>9400</v>
      </c>
      <c r="G123" s="231">
        <f t="shared" si="26"/>
        <v>0</v>
      </c>
      <c r="H123" s="231">
        <f t="shared" si="26"/>
        <v>0</v>
      </c>
      <c r="I123" s="231">
        <f t="shared" si="26"/>
        <v>18800</v>
      </c>
      <c r="J123" s="231">
        <f t="shared" si="26"/>
        <v>0</v>
      </c>
    </row>
    <row r="124" spans="1:10" ht="15" thickBot="1" x14ac:dyDescent="0.25">
      <c r="A124" s="222"/>
      <c r="B124" s="222"/>
      <c r="C124" s="229" t="s">
        <v>389</v>
      </c>
      <c r="D124" s="240"/>
      <c r="E124" s="236">
        <f t="shared" ref="E124:J124" si="27">SUM(E123:E123)</f>
        <v>18750</v>
      </c>
      <c r="F124" s="236">
        <f t="shared" si="27"/>
        <v>9400</v>
      </c>
      <c r="G124" s="236">
        <f t="shared" si="27"/>
        <v>0</v>
      </c>
      <c r="H124" s="236">
        <f t="shared" si="27"/>
        <v>0</v>
      </c>
      <c r="I124" s="236">
        <f t="shared" si="27"/>
        <v>18800</v>
      </c>
      <c r="J124" s="236">
        <f t="shared" si="27"/>
        <v>0</v>
      </c>
    </row>
    <row r="125" spans="1:10" x14ac:dyDescent="0.2">
      <c r="A125" s="240"/>
      <c r="B125" s="229"/>
      <c r="C125" s="222"/>
      <c r="D125" s="240"/>
      <c r="E125" s="242"/>
      <c r="F125" s="242"/>
      <c r="G125" s="242"/>
      <c r="H125" s="242"/>
      <c r="I125" s="242"/>
      <c r="J125" s="242"/>
    </row>
    <row r="126" spans="1:10" x14ac:dyDescent="0.2">
      <c r="A126" s="243" t="s">
        <v>296</v>
      </c>
      <c r="B126" s="229"/>
      <c r="C126" s="222"/>
      <c r="D126" s="240"/>
      <c r="E126" s="230"/>
      <c r="F126" s="230"/>
      <c r="G126" s="230"/>
      <c r="H126" s="230"/>
      <c r="I126" s="230"/>
      <c r="J126" s="230"/>
    </row>
    <row r="127" spans="1:10" x14ac:dyDescent="0.2">
      <c r="A127" s="233"/>
      <c r="B127" s="233" t="s">
        <v>94</v>
      </c>
      <c r="C127" s="222"/>
      <c r="D127" s="240"/>
      <c r="E127" s="231">
        <f t="shared" ref="E127:J127" si="28">E69</f>
        <v>36249.519999999997</v>
      </c>
      <c r="F127" s="231">
        <f t="shared" si="28"/>
        <v>50200</v>
      </c>
      <c r="G127" s="231">
        <f t="shared" si="28"/>
        <v>47100</v>
      </c>
      <c r="H127" s="231">
        <f t="shared" si="28"/>
        <v>50200</v>
      </c>
      <c r="I127" s="231">
        <f t="shared" si="28"/>
        <v>50200</v>
      </c>
      <c r="J127" s="231">
        <f t="shared" si="28"/>
        <v>50200</v>
      </c>
    </row>
    <row r="128" spans="1:10" ht="15" thickBot="1" x14ac:dyDescent="0.25">
      <c r="A128" s="222"/>
      <c r="B128" s="222"/>
      <c r="C128" s="222" t="s">
        <v>390</v>
      </c>
      <c r="D128" s="235"/>
      <c r="E128" s="236">
        <f t="shared" ref="E128:J128" si="29">SUM(E127:E127)</f>
        <v>36249.519999999997</v>
      </c>
      <c r="F128" s="236">
        <f t="shared" si="29"/>
        <v>50200</v>
      </c>
      <c r="G128" s="236">
        <f t="shared" si="29"/>
        <v>47100</v>
      </c>
      <c r="H128" s="236">
        <f t="shared" si="29"/>
        <v>50200</v>
      </c>
      <c r="I128" s="236">
        <f t="shared" si="29"/>
        <v>50200</v>
      </c>
      <c r="J128" s="236">
        <f t="shared" si="29"/>
        <v>50200</v>
      </c>
    </row>
    <row r="129" spans="1:10" x14ac:dyDescent="0.2">
      <c r="A129" s="222"/>
      <c r="B129" s="222"/>
      <c r="C129" s="222"/>
      <c r="D129" s="240"/>
      <c r="E129" s="242"/>
      <c r="F129" s="242"/>
      <c r="G129" s="242"/>
      <c r="H129" s="227"/>
      <c r="I129" s="227"/>
      <c r="J129" s="227"/>
    </row>
    <row r="130" spans="1:10" x14ac:dyDescent="0.2">
      <c r="A130" s="244" t="s">
        <v>15</v>
      </c>
      <c r="B130" s="222"/>
      <c r="C130" s="222"/>
      <c r="D130" s="222"/>
      <c r="E130" s="222"/>
      <c r="F130" s="222"/>
      <c r="G130" s="222"/>
      <c r="H130" s="222"/>
      <c r="I130" s="222"/>
      <c r="J130" s="222"/>
    </row>
    <row r="131" spans="1:10" x14ac:dyDescent="0.2">
      <c r="A131" s="233"/>
      <c r="B131" s="233" t="s">
        <v>94</v>
      </c>
      <c r="C131" s="233"/>
      <c r="D131" s="222"/>
      <c r="E131" s="231">
        <f t="shared" ref="E131:J131" si="30">E77</f>
        <v>0</v>
      </c>
      <c r="F131" s="231">
        <f t="shared" si="30"/>
        <v>0</v>
      </c>
      <c r="G131" s="231">
        <f t="shared" si="30"/>
        <v>0</v>
      </c>
      <c r="H131" s="231">
        <f t="shared" si="30"/>
        <v>0</v>
      </c>
      <c r="I131" s="231">
        <f t="shared" si="30"/>
        <v>0</v>
      </c>
      <c r="J131" s="231">
        <f t="shared" si="30"/>
        <v>0</v>
      </c>
    </row>
    <row r="132" spans="1:10" ht="15" thickBot="1" x14ac:dyDescent="0.25">
      <c r="A132" s="243"/>
      <c r="B132" s="243" t="s">
        <v>69</v>
      </c>
      <c r="C132" s="240"/>
      <c r="D132" s="222"/>
      <c r="E132" s="236">
        <f t="shared" ref="E132:J132" si="31">SUM(E131:E131)</f>
        <v>0</v>
      </c>
      <c r="F132" s="236">
        <f t="shared" si="31"/>
        <v>0</v>
      </c>
      <c r="G132" s="236">
        <f t="shared" si="31"/>
        <v>0</v>
      </c>
      <c r="H132" s="236">
        <f t="shared" si="31"/>
        <v>0</v>
      </c>
      <c r="I132" s="236">
        <f t="shared" si="31"/>
        <v>0</v>
      </c>
      <c r="J132" s="236">
        <f t="shared" si="31"/>
        <v>0</v>
      </c>
    </row>
    <row r="133" spans="1:10" x14ac:dyDescent="0.2">
      <c r="A133" s="222"/>
      <c r="B133" s="222"/>
      <c r="C133" s="222"/>
      <c r="D133" s="222"/>
      <c r="E133" s="242"/>
      <c r="F133" s="242"/>
      <c r="G133" s="242"/>
      <c r="H133" s="227"/>
      <c r="I133" s="227"/>
      <c r="J133" s="227"/>
    </row>
    <row r="134" spans="1:10" ht="15" thickBot="1" x14ac:dyDescent="0.25">
      <c r="A134" s="222"/>
      <c r="B134" s="222"/>
      <c r="C134" s="222"/>
      <c r="D134" s="222"/>
      <c r="E134" s="240"/>
      <c r="F134" s="276" t="s">
        <v>391</v>
      </c>
      <c r="G134" s="240"/>
      <c r="H134" s="240"/>
      <c r="I134" s="245"/>
      <c r="J134" s="245"/>
    </row>
    <row r="135" spans="1:10" ht="15" thickTop="1" x14ac:dyDescent="0.2">
      <c r="A135" s="246"/>
      <c r="B135" s="246"/>
      <c r="C135" s="246"/>
      <c r="D135" s="246"/>
      <c r="E135" s="246"/>
      <c r="F135" s="277"/>
      <c r="G135" s="246"/>
      <c r="H135" s="246"/>
      <c r="I135" s="246"/>
      <c r="J135" s="246"/>
    </row>
    <row r="136" spans="1:10" x14ac:dyDescent="0.2">
      <c r="A136" s="247"/>
      <c r="B136" s="247">
        <v>210</v>
      </c>
      <c r="C136" s="222" t="s">
        <v>7</v>
      </c>
      <c r="D136" s="222"/>
      <c r="E136" s="231">
        <f t="shared" ref="E136:J151" si="32">SUMIF($A$39:$A$968,$B136,E$39:E$968)</f>
        <v>165978.93</v>
      </c>
      <c r="F136" s="231">
        <f t="shared" si="32"/>
        <v>171000</v>
      </c>
      <c r="G136" s="231">
        <f t="shared" si="32"/>
        <v>188700</v>
      </c>
      <c r="H136" s="231">
        <f t="shared" si="32"/>
        <v>188700</v>
      </c>
      <c r="I136" s="231">
        <f t="shared" si="32"/>
        <v>189900</v>
      </c>
      <c r="J136" s="231">
        <f t="shared" si="32"/>
        <v>191100</v>
      </c>
    </row>
    <row r="137" spans="1:10" x14ac:dyDescent="0.2">
      <c r="A137" s="247"/>
      <c r="B137" s="247">
        <v>212</v>
      </c>
      <c r="C137" s="222" t="s">
        <v>9</v>
      </c>
      <c r="D137" s="222"/>
      <c r="E137" s="231">
        <f t="shared" si="32"/>
        <v>0</v>
      </c>
      <c r="F137" s="231">
        <f t="shared" si="32"/>
        <v>0</v>
      </c>
      <c r="G137" s="231">
        <f t="shared" si="32"/>
        <v>0</v>
      </c>
      <c r="H137" s="231">
        <f t="shared" si="32"/>
        <v>0</v>
      </c>
      <c r="I137" s="231">
        <f t="shared" si="32"/>
        <v>0</v>
      </c>
      <c r="J137" s="231">
        <f t="shared" si="32"/>
        <v>0</v>
      </c>
    </row>
    <row r="138" spans="1:10" x14ac:dyDescent="0.2">
      <c r="A138" s="247"/>
      <c r="B138" s="247">
        <v>213</v>
      </c>
      <c r="C138" s="222" t="s">
        <v>201</v>
      </c>
      <c r="D138" s="222"/>
      <c r="E138" s="231">
        <f t="shared" si="32"/>
        <v>0</v>
      </c>
      <c r="F138" s="231">
        <f t="shared" si="32"/>
        <v>0</v>
      </c>
      <c r="G138" s="231">
        <f t="shared" si="32"/>
        <v>0</v>
      </c>
      <c r="H138" s="231">
        <f t="shared" si="32"/>
        <v>0</v>
      </c>
      <c r="I138" s="231">
        <f t="shared" si="32"/>
        <v>0</v>
      </c>
      <c r="J138" s="231">
        <f t="shared" si="32"/>
        <v>0</v>
      </c>
    </row>
    <row r="139" spans="1:10" x14ac:dyDescent="0.2">
      <c r="A139" s="247"/>
      <c r="B139" s="247">
        <v>216</v>
      </c>
      <c r="C139" s="222" t="s">
        <v>10</v>
      </c>
      <c r="D139" s="222"/>
      <c r="E139" s="231">
        <f t="shared" si="32"/>
        <v>87240.4</v>
      </c>
      <c r="F139" s="231">
        <f t="shared" si="32"/>
        <v>100300</v>
      </c>
      <c r="G139" s="231">
        <f t="shared" si="32"/>
        <v>73400</v>
      </c>
      <c r="H139" s="231">
        <f t="shared" si="32"/>
        <v>100300</v>
      </c>
      <c r="I139" s="231">
        <f t="shared" si="32"/>
        <v>100300</v>
      </c>
      <c r="J139" s="231">
        <f t="shared" si="32"/>
        <v>100300</v>
      </c>
    </row>
    <row r="140" spans="1:10" x14ac:dyDescent="0.2">
      <c r="A140" s="247"/>
      <c r="B140" s="247">
        <v>218</v>
      </c>
      <c r="C140" s="222" t="s">
        <v>202</v>
      </c>
      <c r="D140" s="222"/>
      <c r="E140" s="231">
        <f t="shared" si="32"/>
        <v>18750</v>
      </c>
      <c r="F140" s="231">
        <f t="shared" si="32"/>
        <v>9400</v>
      </c>
      <c r="G140" s="231">
        <f t="shared" si="32"/>
        <v>0</v>
      </c>
      <c r="H140" s="231">
        <f t="shared" si="32"/>
        <v>0</v>
      </c>
      <c r="I140" s="231">
        <f t="shared" si="32"/>
        <v>18800</v>
      </c>
      <c r="J140" s="231">
        <f t="shared" si="32"/>
        <v>0</v>
      </c>
    </row>
    <row r="141" spans="1:10" x14ac:dyDescent="0.2">
      <c r="A141" s="247"/>
      <c r="B141" s="247">
        <v>219</v>
      </c>
      <c r="C141" s="222" t="s">
        <v>203</v>
      </c>
      <c r="D141" s="222"/>
      <c r="E141" s="231">
        <f t="shared" si="32"/>
        <v>0</v>
      </c>
      <c r="F141" s="231">
        <f t="shared" si="32"/>
        <v>0</v>
      </c>
      <c r="G141" s="231">
        <f t="shared" si="32"/>
        <v>0</v>
      </c>
      <c r="H141" s="231">
        <f t="shared" si="32"/>
        <v>0</v>
      </c>
      <c r="I141" s="231">
        <f t="shared" si="32"/>
        <v>0</v>
      </c>
      <c r="J141" s="231">
        <f t="shared" si="32"/>
        <v>0</v>
      </c>
    </row>
    <row r="142" spans="1:10" x14ac:dyDescent="0.2">
      <c r="A142" s="247"/>
      <c r="B142" s="247">
        <v>220</v>
      </c>
      <c r="C142" s="222" t="s">
        <v>204</v>
      </c>
      <c r="D142" s="222"/>
      <c r="E142" s="231">
        <f t="shared" si="32"/>
        <v>0</v>
      </c>
      <c r="F142" s="231">
        <f t="shared" si="32"/>
        <v>0</v>
      </c>
      <c r="G142" s="231">
        <f t="shared" si="32"/>
        <v>0</v>
      </c>
      <c r="H142" s="231">
        <f t="shared" si="32"/>
        <v>0</v>
      </c>
      <c r="I142" s="231">
        <f t="shared" si="32"/>
        <v>0</v>
      </c>
      <c r="J142" s="231">
        <f t="shared" si="32"/>
        <v>0</v>
      </c>
    </row>
    <row r="143" spans="1:10" x14ac:dyDescent="0.2">
      <c r="A143" s="247"/>
      <c r="B143" s="247">
        <v>222</v>
      </c>
      <c r="C143" s="222" t="s">
        <v>205</v>
      </c>
      <c r="D143" s="222"/>
      <c r="E143" s="231">
        <f t="shared" si="32"/>
        <v>0</v>
      </c>
      <c r="F143" s="231">
        <f t="shared" si="32"/>
        <v>0</v>
      </c>
      <c r="G143" s="231">
        <f t="shared" si="32"/>
        <v>0</v>
      </c>
      <c r="H143" s="231">
        <f t="shared" si="32"/>
        <v>0</v>
      </c>
      <c r="I143" s="231">
        <f t="shared" si="32"/>
        <v>0</v>
      </c>
      <c r="J143" s="231">
        <f t="shared" si="32"/>
        <v>0</v>
      </c>
    </row>
    <row r="144" spans="1:10" x14ac:dyDescent="0.2">
      <c r="A144" s="247"/>
      <c r="B144" s="247">
        <v>224</v>
      </c>
      <c r="C144" s="222" t="s">
        <v>206</v>
      </c>
      <c r="D144" s="222"/>
      <c r="E144" s="231">
        <f t="shared" si="32"/>
        <v>0</v>
      </c>
      <c r="F144" s="231">
        <f t="shared" si="32"/>
        <v>0</v>
      </c>
      <c r="G144" s="231">
        <f t="shared" si="32"/>
        <v>0</v>
      </c>
      <c r="H144" s="231">
        <f t="shared" si="32"/>
        <v>0</v>
      </c>
      <c r="I144" s="231">
        <f t="shared" si="32"/>
        <v>0</v>
      </c>
      <c r="J144" s="231">
        <f t="shared" si="32"/>
        <v>0</v>
      </c>
    </row>
    <row r="145" spans="1:10" x14ac:dyDescent="0.2">
      <c r="A145" s="247"/>
      <c r="B145" s="247">
        <v>226</v>
      </c>
      <c r="C145" s="222" t="s">
        <v>207</v>
      </c>
      <c r="D145" s="222"/>
      <c r="E145" s="231">
        <f t="shared" si="32"/>
        <v>3239.3</v>
      </c>
      <c r="F145" s="231">
        <f t="shared" si="32"/>
        <v>4200</v>
      </c>
      <c r="G145" s="231">
        <f t="shared" si="32"/>
        <v>3600</v>
      </c>
      <c r="H145" s="231">
        <f t="shared" si="32"/>
        <v>4200</v>
      </c>
      <c r="I145" s="231">
        <f t="shared" si="32"/>
        <v>4200</v>
      </c>
      <c r="J145" s="231">
        <f t="shared" si="32"/>
        <v>4200</v>
      </c>
    </row>
    <row r="146" spans="1:10" x14ac:dyDescent="0.2">
      <c r="A146" s="247"/>
      <c r="B146" s="247">
        <v>228</v>
      </c>
      <c r="C146" s="222" t="s">
        <v>208</v>
      </c>
      <c r="D146" s="222"/>
      <c r="E146" s="231">
        <f t="shared" si="32"/>
        <v>3991.55</v>
      </c>
      <c r="F146" s="231">
        <f t="shared" si="32"/>
        <v>5500</v>
      </c>
      <c r="G146" s="231">
        <f t="shared" si="32"/>
        <v>7000</v>
      </c>
      <c r="H146" s="231">
        <f t="shared" si="32"/>
        <v>5500</v>
      </c>
      <c r="I146" s="231">
        <f t="shared" si="32"/>
        <v>5500</v>
      </c>
      <c r="J146" s="231">
        <f t="shared" si="32"/>
        <v>5500</v>
      </c>
    </row>
    <row r="147" spans="1:10" x14ac:dyDescent="0.2">
      <c r="A147" s="247"/>
      <c r="B147" s="247">
        <v>229</v>
      </c>
      <c r="C147" s="222" t="s">
        <v>209</v>
      </c>
      <c r="D147" s="222"/>
      <c r="E147" s="231">
        <f t="shared" si="32"/>
        <v>0</v>
      </c>
      <c r="F147" s="231">
        <f t="shared" si="32"/>
        <v>0</v>
      </c>
      <c r="G147" s="231">
        <f t="shared" si="32"/>
        <v>0</v>
      </c>
      <c r="H147" s="231">
        <f t="shared" si="32"/>
        <v>0</v>
      </c>
      <c r="I147" s="231">
        <f t="shared" si="32"/>
        <v>0</v>
      </c>
      <c r="J147" s="231">
        <f t="shared" si="32"/>
        <v>0</v>
      </c>
    </row>
    <row r="148" spans="1:10" x14ac:dyDescent="0.2">
      <c r="A148" s="247"/>
      <c r="B148" s="247">
        <v>230</v>
      </c>
      <c r="C148" s="222" t="s">
        <v>210</v>
      </c>
      <c r="D148" s="222"/>
      <c r="E148" s="231">
        <f t="shared" si="32"/>
        <v>0</v>
      </c>
      <c r="F148" s="231">
        <f t="shared" si="32"/>
        <v>0</v>
      </c>
      <c r="G148" s="231">
        <f t="shared" si="32"/>
        <v>0</v>
      </c>
      <c r="H148" s="231">
        <f t="shared" si="32"/>
        <v>0</v>
      </c>
      <c r="I148" s="231">
        <f t="shared" si="32"/>
        <v>0</v>
      </c>
      <c r="J148" s="231">
        <f t="shared" si="32"/>
        <v>0</v>
      </c>
    </row>
    <row r="149" spans="1:10" x14ac:dyDescent="0.2">
      <c r="A149" s="247"/>
      <c r="B149" s="247">
        <v>232</v>
      </c>
      <c r="C149" s="222" t="s">
        <v>211</v>
      </c>
      <c r="D149" s="222"/>
      <c r="E149" s="231">
        <f t="shared" si="32"/>
        <v>0</v>
      </c>
      <c r="F149" s="231">
        <f t="shared" si="32"/>
        <v>0</v>
      </c>
      <c r="G149" s="231">
        <f t="shared" si="32"/>
        <v>0</v>
      </c>
      <c r="H149" s="231">
        <f t="shared" si="32"/>
        <v>0</v>
      </c>
      <c r="I149" s="231">
        <f t="shared" si="32"/>
        <v>0</v>
      </c>
      <c r="J149" s="231">
        <f t="shared" si="32"/>
        <v>0</v>
      </c>
    </row>
    <row r="150" spans="1:10" x14ac:dyDescent="0.2">
      <c r="A150" s="247"/>
      <c r="B150" s="247">
        <v>234</v>
      </c>
      <c r="C150" s="222" t="s">
        <v>212</v>
      </c>
      <c r="D150" s="222"/>
      <c r="E150" s="231">
        <f t="shared" si="32"/>
        <v>0</v>
      </c>
      <c r="F150" s="231">
        <f t="shared" si="32"/>
        <v>0</v>
      </c>
      <c r="G150" s="231">
        <f t="shared" si="32"/>
        <v>0</v>
      </c>
      <c r="H150" s="231">
        <f t="shared" si="32"/>
        <v>0</v>
      </c>
      <c r="I150" s="231">
        <f t="shared" si="32"/>
        <v>0</v>
      </c>
      <c r="J150" s="231">
        <f t="shared" si="32"/>
        <v>0</v>
      </c>
    </row>
    <row r="151" spans="1:10" x14ac:dyDescent="0.2">
      <c r="A151" s="247"/>
      <c r="B151" s="247">
        <v>236</v>
      </c>
      <c r="C151" s="222" t="s">
        <v>213</v>
      </c>
      <c r="D151" s="222"/>
      <c r="E151" s="231">
        <f t="shared" si="32"/>
        <v>27936.61</v>
      </c>
      <c r="F151" s="231">
        <f t="shared" si="32"/>
        <v>30000</v>
      </c>
      <c r="G151" s="231">
        <f t="shared" si="32"/>
        <v>29000</v>
      </c>
      <c r="H151" s="231">
        <f t="shared" si="32"/>
        <v>30000</v>
      </c>
      <c r="I151" s="231">
        <f t="shared" si="32"/>
        <v>30000</v>
      </c>
      <c r="J151" s="231">
        <f t="shared" si="32"/>
        <v>30000</v>
      </c>
    </row>
    <row r="152" spans="1:10" x14ac:dyDescent="0.2">
      <c r="A152" s="247"/>
      <c r="B152" s="247">
        <v>238</v>
      </c>
      <c r="C152" s="222" t="s">
        <v>214</v>
      </c>
      <c r="D152" s="222"/>
      <c r="E152" s="231">
        <f t="shared" ref="E152:J167" si="33">SUMIF($A$39:$A$968,$B152,E$39:E$968)</f>
        <v>0</v>
      </c>
      <c r="F152" s="231">
        <f t="shared" si="33"/>
        <v>0</v>
      </c>
      <c r="G152" s="231">
        <f t="shared" si="33"/>
        <v>0</v>
      </c>
      <c r="H152" s="231">
        <f t="shared" si="33"/>
        <v>0</v>
      </c>
      <c r="I152" s="231">
        <f t="shared" si="33"/>
        <v>0</v>
      </c>
      <c r="J152" s="231">
        <f t="shared" si="33"/>
        <v>0</v>
      </c>
    </row>
    <row r="153" spans="1:10" x14ac:dyDescent="0.2">
      <c r="A153" s="247"/>
      <c r="B153" s="247">
        <v>240</v>
      </c>
      <c r="C153" s="222" t="s">
        <v>215</v>
      </c>
      <c r="D153" s="222"/>
      <c r="E153" s="231">
        <f t="shared" si="33"/>
        <v>0</v>
      </c>
      <c r="F153" s="231">
        <f t="shared" si="33"/>
        <v>0</v>
      </c>
      <c r="G153" s="231">
        <f t="shared" si="33"/>
        <v>0</v>
      </c>
      <c r="H153" s="231">
        <f t="shared" si="33"/>
        <v>0</v>
      </c>
      <c r="I153" s="231">
        <f t="shared" si="33"/>
        <v>0</v>
      </c>
      <c r="J153" s="231">
        <f t="shared" si="33"/>
        <v>0</v>
      </c>
    </row>
    <row r="154" spans="1:10" x14ac:dyDescent="0.2">
      <c r="A154" s="247"/>
      <c r="B154" s="247">
        <v>242</v>
      </c>
      <c r="C154" s="222" t="s">
        <v>216</v>
      </c>
      <c r="D154" s="222"/>
      <c r="E154" s="231">
        <f t="shared" si="33"/>
        <v>0</v>
      </c>
      <c r="F154" s="231">
        <f t="shared" si="33"/>
        <v>0</v>
      </c>
      <c r="G154" s="231">
        <f t="shared" si="33"/>
        <v>0</v>
      </c>
      <c r="H154" s="231">
        <f t="shared" si="33"/>
        <v>0</v>
      </c>
      <c r="I154" s="231">
        <f t="shared" si="33"/>
        <v>0</v>
      </c>
      <c r="J154" s="231">
        <f t="shared" si="33"/>
        <v>0</v>
      </c>
    </row>
    <row r="155" spans="1:10" x14ac:dyDescent="0.2">
      <c r="A155" s="247"/>
      <c r="B155" s="247">
        <v>244</v>
      </c>
      <c r="C155" s="222" t="s">
        <v>217</v>
      </c>
      <c r="D155" s="222"/>
      <c r="E155" s="231">
        <f t="shared" si="33"/>
        <v>0</v>
      </c>
      <c r="F155" s="231">
        <f t="shared" si="33"/>
        <v>0</v>
      </c>
      <c r="G155" s="231">
        <f t="shared" si="33"/>
        <v>0</v>
      </c>
      <c r="H155" s="231">
        <f t="shared" si="33"/>
        <v>0</v>
      </c>
      <c r="I155" s="231">
        <f t="shared" si="33"/>
        <v>0</v>
      </c>
      <c r="J155" s="231">
        <f t="shared" si="33"/>
        <v>0</v>
      </c>
    </row>
    <row r="156" spans="1:10" x14ac:dyDescent="0.2">
      <c r="A156" s="247"/>
      <c r="B156" s="247">
        <v>246</v>
      </c>
      <c r="C156" s="222" t="s">
        <v>218</v>
      </c>
      <c r="D156" s="222"/>
      <c r="E156" s="231">
        <f t="shared" si="33"/>
        <v>90</v>
      </c>
      <c r="F156" s="231">
        <f t="shared" si="33"/>
        <v>500</v>
      </c>
      <c r="G156" s="231">
        <f t="shared" si="33"/>
        <v>0</v>
      </c>
      <c r="H156" s="231">
        <f t="shared" si="33"/>
        <v>500</v>
      </c>
      <c r="I156" s="231">
        <f t="shared" si="33"/>
        <v>500</v>
      </c>
      <c r="J156" s="231">
        <f t="shared" si="33"/>
        <v>500</v>
      </c>
    </row>
    <row r="157" spans="1:10" x14ac:dyDescent="0.2">
      <c r="A157" s="247"/>
      <c r="B157" s="247">
        <v>247</v>
      </c>
      <c r="C157" s="222" t="s">
        <v>219</v>
      </c>
      <c r="D157" s="222"/>
      <c r="E157" s="231">
        <f t="shared" si="33"/>
        <v>0</v>
      </c>
      <c r="F157" s="231">
        <f t="shared" si="33"/>
        <v>0</v>
      </c>
      <c r="G157" s="231">
        <f t="shared" si="33"/>
        <v>0</v>
      </c>
      <c r="H157" s="231">
        <f t="shared" si="33"/>
        <v>0</v>
      </c>
      <c r="I157" s="231">
        <f t="shared" si="33"/>
        <v>0</v>
      </c>
      <c r="J157" s="231">
        <f t="shared" si="33"/>
        <v>0</v>
      </c>
    </row>
    <row r="158" spans="1:10" x14ac:dyDescent="0.2">
      <c r="A158" s="247"/>
      <c r="B158" s="247">
        <v>260</v>
      </c>
      <c r="C158" s="222" t="s">
        <v>220</v>
      </c>
      <c r="D158" s="222"/>
      <c r="E158" s="231">
        <f t="shared" si="33"/>
        <v>0</v>
      </c>
      <c r="F158" s="231">
        <f t="shared" si="33"/>
        <v>0</v>
      </c>
      <c r="G158" s="231">
        <f t="shared" si="33"/>
        <v>0</v>
      </c>
      <c r="H158" s="231">
        <f t="shared" si="33"/>
        <v>0</v>
      </c>
      <c r="I158" s="231">
        <f t="shared" si="33"/>
        <v>0</v>
      </c>
      <c r="J158" s="231">
        <f t="shared" si="33"/>
        <v>0</v>
      </c>
    </row>
    <row r="159" spans="1:10" x14ac:dyDescent="0.2">
      <c r="A159" s="247"/>
      <c r="B159" s="247">
        <v>261</v>
      </c>
      <c r="C159" s="222" t="s">
        <v>221</v>
      </c>
      <c r="D159" s="222"/>
      <c r="E159" s="231">
        <f t="shared" si="33"/>
        <v>0</v>
      </c>
      <c r="F159" s="231">
        <f t="shared" si="33"/>
        <v>0</v>
      </c>
      <c r="G159" s="231">
        <f t="shared" si="33"/>
        <v>0</v>
      </c>
      <c r="H159" s="231">
        <f t="shared" si="33"/>
        <v>0</v>
      </c>
      <c r="I159" s="231">
        <f t="shared" si="33"/>
        <v>0</v>
      </c>
      <c r="J159" s="231">
        <f t="shared" si="33"/>
        <v>0</v>
      </c>
    </row>
    <row r="160" spans="1:10" x14ac:dyDescent="0.2">
      <c r="A160" s="247"/>
      <c r="B160" s="247">
        <v>265</v>
      </c>
      <c r="C160" s="222" t="s">
        <v>222</v>
      </c>
      <c r="D160" s="222"/>
      <c r="E160" s="231">
        <f t="shared" si="33"/>
        <v>0</v>
      </c>
      <c r="F160" s="231">
        <f t="shared" si="33"/>
        <v>0</v>
      </c>
      <c r="G160" s="231">
        <f t="shared" si="33"/>
        <v>0</v>
      </c>
      <c r="H160" s="231">
        <f t="shared" si="33"/>
        <v>0</v>
      </c>
      <c r="I160" s="231">
        <f t="shared" si="33"/>
        <v>0</v>
      </c>
      <c r="J160" s="231">
        <f t="shared" si="33"/>
        <v>0</v>
      </c>
    </row>
    <row r="161" spans="1:10" x14ac:dyDescent="0.2">
      <c r="A161" s="247"/>
      <c r="B161" s="247">
        <v>266</v>
      </c>
      <c r="C161" s="222" t="s">
        <v>223</v>
      </c>
      <c r="D161" s="222"/>
      <c r="E161" s="231">
        <f t="shared" si="33"/>
        <v>0</v>
      </c>
      <c r="F161" s="231">
        <f t="shared" si="33"/>
        <v>0</v>
      </c>
      <c r="G161" s="231">
        <f t="shared" si="33"/>
        <v>0</v>
      </c>
      <c r="H161" s="231">
        <f t="shared" si="33"/>
        <v>0</v>
      </c>
      <c r="I161" s="231">
        <f t="shared" si="33"/>
        <v>0</v>
      </c>
      <c r="J161" s="231">
        <f t="shared" si="33"/>
        <v>0</v>
      </c>
    </row>
    <row r="162" spans="1:10" x14ac:dyDescent="0.2">
      <c r="A162" s="247"/>
      <c r="B162" s="247">
        <v>270</v>
      </c>
      <c r="C162" s="222" t="s">
        <v>224</v>
      </c>
      <c r="D162" s="222"/>
      <c r="E162" s="231">
        <f t="shared" si="33"/>
        <v>0</v>
      </c>
      <c r="F162" s="231">
        <f t="shared" si="33"/>
        <v>0</v>
      </c>
      <c r="G162" s="231">
        <f t="shared" si="33"/>
        <v>0</v>
      </c>
      <c r="H162" s="231">
        <f t="shared" si="33"/>
        <v>0</v>
      </c>
      <c r="I162" s="231">
        <f t="shared" si="33"/>
        <v>0</v>
      </c>
      <c r="J162" s="231">
        <f t="shared" si="33"/>
        <v>0</v>
      </c>
    </row>
    <row r="163" spans="1:10" x14ac:dyDescent="0.2">
      <c r="A163" s="247"/>
      <c r="B163" s="247">
        <v>272</v>
      </c>
      <c r="C163" s="222" t="s">
        <v>225</v>
      </c>
      <c r="D163" s="222"/>
      <c r="E163" s="231">
        <f t="shared" si="33"/>
        <v>0</v>
      </c>
      <c r="F163" s="231">
        <f t="shared" si="33"/>
        <v>0</v>
      </c>
      <c r="G163" s="231">
        <f t="shared" si="33"/>
        <v>0</v>
      </c>
      <c r="H163" s="231">
        <f t="shared" si="33"/>
        <v>0</v>
      </c>
      <c r="I163" s="231">
        <f t="shared" si="33"/>
        <v>0</v>
      </c>
      <c r="J163" s="231">
        <f t="shared" si="33"/>
        <v>0</v>
      </c>
    </row>
    <row r="164" spans="1:10" x14ac:dyDescent="0.2">
      <c r="A164" s="247"/>
      <c r="B164" s="247">
        <v>273</v>
      </c>
      <c r="C164" s="222" t="s">
        <v>226</v>
      </c>
      <c r="D164" s="222"/>
      <c r="E164" s="231">
        <f t="shared" si="33"/>
        <v>0</v>
      </c>
      <c r="F164" s="231">
        <f t="shared" si="33"/>
        <v>0</v>
      </c>
      <c r="G164" s="231">
        <f t="shared" si="33"/>
        <v>0</v>
      </c>
      <c r="H164" s="231">
        <f t="shared" si="33"/>
        <v>0</v>
      </c>
      <c r="I164" s="231">
        <f t="shared" si="33"/>
        <v>0</v>
      </c>
      <c r="J164" s="231">
        <f t="shared" si="33"/>
        <v>0</v>
      </c>
    </row>
    <row r="165" spans="1:10" x14ac:dyDescent="0.2">
      <c r="A165" s="247"/>
      <c r="B165" s="247">
        <v>274</v>
      </c>
      <c r="C165" s="222" t="s">
        <v>227</v>
      </c>
      <c r="D165" s="222"/>
      <c r="E165" s="231">
        <f t="shared" si="33"/>
        <v>0</v>
      </c>
      <c r="F165" s="231">
        <f t="shared" si="33"/>
        <v>0</v>
      </c>
      <c r="G165" s="231">
        <f t="shared" si="33"/>
        <v>0</v>
      </c>
      <c r="H165" s="231">
        <f t="shared" si="33"/>
        <v>0</v>
      </c>
      <c r="I165" s="231">
        <f t="shared" si="33"/>
        <v>0</v>
      </c>
      <c r="J165" s="231">
        <f t="shared" si="33"/>
        <v>0</v>
      </c>
    </row>
    <row r="166" spans="1:10" x14ac:dyDescent="0.2">
      <c r="A166" s="247"/>
      <c r="B166" s="247">
        <v>275</v>
      </c>
      <c r="C166" s="222" t="s">
        <v>228</v>
      </c>
      <c r="D166" s="222"/>
      <c r="E166" s="231">
        <f t="shared" si="33"/>
        <v>992.06</v>
      </c>
      <c r="F166" s="231">
        <f t="shared" si="33"/>
        <v>10000</v>
      </c>
      <c r="G166" s="231">
        <f t="shared" si="33"/>
        <v>7500</v>
      </c>
      <c r="H166" s="231">
        <f t="shared" si="33"/>
        <v>10000</v>
      </c>
      <c r="I166" s="231">
        <f t="shared" si="33"/>
        <v>10000</v>
      </c>
      <c r="J166" s="231">
        <f t="shared" si="33"/>
        <v>10000</v>
      </c>
    </row>
    <row r="167" spans="1:10" x14ac:dyDescent="0.2">
      <c r="A167" s="247"/>
      <c r="B167" s="247">
        <v>276</v>
      </c>
      <c r="C167" s="222" t="s">
        <v>229</v>
      </c>
      <c r="D167" s="222"/>
      <c r="E167" s="231">
        <f t="shared" si="33"/>
        <v>0</v>
      </c>
      <c r="F167" s="231">
        <f t="shared" si="33"/>
        <v>0</v>
      </c>
      <c r="G167" s="231">
        <f t="shared" si="33"/>
        <v>0</v>
      </c>
      <c r="H167" s="231">
        <f t="shared" si="33"/>
        <v>0</v>
      </c>
      <c r="I167" s="231">
        <f t="shared" si="33"/>
        <v>0</v>
      </c>
      <c r="J167" s="231">
        <f t="shared" si="33"/>
        <v>0</v>
      </c>
    </row>
    <row r="168" spans="1:10" x14ac:dyDescent="0.2">
      <c r="A168" s="247"/>
      <c r="B168" s="247">
        <v>277</v>
      </c>
      <c r="C168" s="222" t="s">
        <v>230</v>
      </c>
      <c r="D168" s="222"/>
      <c r="E168" s="231">
        <f t="shared" ref="E168:J179" si="34">SUMIF($A$39:$A$968,$B168,E$39:E$968)</f>
        <v>0</v>
      </c>
      <c r="F168" s="231">
        <f t="shared" si="34"/>
        <v>0</v>
      </c>
      <c r="G168" s="231">
        <f t="shared" si="34"/>
        <v>0</v>
      </c>
      <c r="H168" s="231">
        <f t="shared" si="34"/>
        <v>0</v>
      </c>
      <c r="I168" s="231">
        <f t="shared" si="34"/>
        <v>0</v>
      </c>
      <c r="J168" s="231">
        <f t="shared" si="34"/>
        <v>0</v>
      </c>
    </row>
    <row r="169" spans="1:10" x14ac:dyDescent="0.2">
      <c r="A169" s="247"/>
      <c r="B169" s="247">
        <v>278</v>
      </c>
      <c r="C169" s="222" t="s">
        <v>231</v>
      </c>
      <c r="D169" s="222"/>
      <c r="E169" s="231">
        <f t="shared" si="34"/>
        <v>0</v>
      </c>
      <c r="F169" s="231">
        <f t="shared" si="34"/>
        <v>0</v>
      </c>
      <c r="G169" s="231">
        <f t="shared" si="34"/>
        <v>0</v>
      </c>
      <c r="H169" s="231">
        <f t="shared" si="34"/>
        <v>0</v>
      </c>
      <c r="I169" s="231">
        <f t="shared" si="34"/>
        <v>0</v>
      </c>
      <c r="J169" s="231">
        <f t="shared" si="34"/>
        <v>0</v>
      </c>
    </row>
    <row r="170" spans="1:10" x14ac:dyDescent="0.2">
      <c r="A170" s="247"/>
      <c r="B170" s="247">
        <v>279</v>
      </c>
      <c r="C170" s="222" t="s">
        <v>232</v>
      </c>
      <c r="D170" s="222"/>
      <c r="E170" s="231">
        <f t="shared" si="34"/>
        <v>0</v>
      </c>
      <c r="F170" s="231">
        <f t="shared" si="34"/>
        <v>0</v>
      </c>
      <c r="G170" s="231">
        <f t="shared" si="34"/>
        <v>0</v>
      </c>
      <c r="H170" s="231">
        <f t="shared" si="34"/>
        <v>0</v>
      </c>
      <c r="I170" s="231">
        <f t="shared" si="34"/>
        <v>0</v>
      </c>
      <c r="J170" s="231">
        <f t="shared" si="34"/>
        <v>0</v>
      </c>
    </row>
    <row r="171" spans="1:10" x14ac:dyDescent="0.2">
      <c r="A171" s="247"/>
      <c r="B171" s="247">
        <v>280</v>
      </c>
      <c r="C171" s="222" t="s">
        <v>233</v>
      </c>
      <c r="D171" s="222"/>
      <c r="E171" s="231">
        <f t="shared" si="34"/>
        <v>0</v>
      </c>
      <c r="F171" s="231">
        <f t="shared" si="34"/>
        <v>0</v>
      </c>
      <c r="G171" s="231">
        <f t="shared" si="34"/>
        <v>0</v>
      </c>
      <c r="H171" s="231">
        <f t="shared" si="34"/>
        <v>0</v>
      </c>
      <c r="I171" s="231">
        <f t="shared" si="34"/>
        <v>0</v>
      </c>
      <c r="J171" s="231">
        <f t="shared" si="34"/>
        <v>0</v>
      </c>
    </row>
    <row r="172" spans="1:10" x14ac:dyDescent="0.2">
      <c r="A172" s="247"/>
      <c r="B172" s="247">
        <v>281</v>
      </c>
      <c r="C172" s="222" t="s">
        <v>234</v>
      </c>
      <c r="D172" s="222"/>
      <c r="E172" s="231">
        <f t="shared" si="34"/>
        <v>0</v>
      </c>
      <c r="F172" s="231">
        <f t="shared" si="34"/>
        <v>0</v>
      </c>
      <c r="G172" s="231">
        <f t="shared" si="34"/>
        <v>0</v>
      </c>
      <c r="H172" s="231">
        <f t="shared" si="34"/>
        <v>0</v>
      </c>
      <c r="I172" s="231">
        <f t="shared" si="34"/>
        <v>0</v>
      </c>
      <c r="J172" s="231">
        <f t="shared" si="34"/>
        <v>0</v>
      </c>
    </row>
    <row r="173" spans="1:10" x14ac:dyDescent="0.2">
      <c r="A173" s="247"/>
      <c r="B173" s="247">
        <v>282</v>
      </c>
      <c r="C173" s="222" t="s">
        <v>235</v>
      </c>
      <c r="D173" s="222"/>
      <c r="E173" s="231">
        <f t="shared" si="34"/>
        <v>0</v>
      </c>
      <c r="F173" s="231">
        <f t="shared" si="34"/>
        <v>0</v>
      </c>
      <c r="G173" s="231">
        <f t="shared" si="34"/>
        <v>0</v>
      </c>
      <c r="H173" s="231">
        <f t="shared" si="34"/>
        <v>0</v>
      </c>
      <c r="I173" s="231">
        <f t="shared" si="34"/>
        <v>0</v>
      </c>
      <c r="J173" s="231">
        <f t="shared" si="34"/>
        <v>0</v>
      </c>
    </row>
    <row r="174" spans="1:10" x14ac:dyDescent="0.2">
      <c r="A174" s="247"/>
      <c r="B174" s="247">
        <v>283</v>
      </c>
      <c r="C174" s="222" t="s">
        <v>236</v>
      </c>
      <c r="D174" s="222"/>
      <c r="E174" s="231">
        <f t="shared" si="34"/>
        <v>0</v>
      </c>
      <c r="F174" s="231">
        <f t="shared" si="34"/>
        <v>0</v>
      </c>
      <c r="G174" s="231">
        <f t="shared" si="34"/>
        <v>0</v>
      </c>
      <c r="H174" s="231">
        <f t="shared" si="34"/>
        <v>0</v>
      </c>
      <c r="I174" s="231">
        <f t="shared" si="34"/>
        <v>0</v>
      </c>
      <c r="J174" s="231">
        <f t="shared" si="34"/>
        <v>0</v>
      </c>
    </row>
    <row r="175" spans="1:10" x14ac:dyDescent="0.2">
      <c r="A175" s="247"/>
      <c r="B175" s="247">
        <v>290</v>
      </c>
      <c r="C175" s="222" t="s">
        <v>238</v>
      </c>
      <c r="D175" s="222"/>
      <c r="E175" s="231">
        <f t="shared" si="34"/>
        <v>0</v>
      </c>
      <c r="F175" s="231">
        <f t="shared" si="34"/>
        <v>0</v>
      </c>
      <c r="G175" s="231">
        <f t="shared" si="34"/>
        <v>0</v>
      </c>
      <c r="H175" s="231">
        <f t="shared" si="34"/>
        <v>0</v>
      </c>
      <c r="I175" s="231">
        <f t="shared" si="34"/>
        <v>0</v>
      </c>
      <c r="J175" s="231">
        <f t="shared" si="34"/>
        <v>0</v>
      </c>
    </row>
    <row r="176" spans="1:10" x14ac:dyDescent="0.2">
      <c r="A176" s="247"/>
      <c r="B176" s="247">
        <v>292</v>
      </c>
      <c r="C176" s="222" t="s">
        <v>239</v>
      </c>
      <c r="D176" s="222"/>
      <c r="E176" s="231">
        <f t="shared" si="34"/>
        <v>0</v>
      </c>
      <c r="F176" s="231">
        <f t="shared" si="34"/>
        <v>0</v>
      </c>
      <c r="G176" s="231">
        <f t="shared" si="34"/>
        <v>0</v>
      </c>
      <c r="H176" s="231">
        <f t="shared" si="34"/>
        <v>0</v>
      </c>
      <c r="I176" s="231">
        <f t="shared" si="34"/>
        <v>0</v>
      </c>
      <c r="J176" s="231">
        <f t="shared" si="34"/>
        <v>0</v>
      </c>
    </row>
    <row r="177" spans="1:10" x14ac:dyDescent="0.2">
      <c r="A177" s="247"/>
      <c r="B177" s="247">
        <v>293</v>
      </c>
      <c r="C177" s="222" t="s">
        <v>240</v>
      </c>
      <c r="D177" s="222"/>
      <c r="E177" s="231">
        <f t="shared" si="34"/>
        <v>0</v>
      </c>
      <c r="F177" s="231">
        <f t="shared" si="34"/>
        <v>0</v>
      </c>
      <c r="G177" s="231">
        <f t="shared" si="34"/>
        <v>0</v>
      </c>
      <c r="H177" s="231">
        <f t="shared" si="34"/>
        <v>0</v>
      </c>
      <c r="I177" s="231">
        <f t="shared" si="34"/>
        <v>0</v>
      </c>
      <c r="J177" s="231">
        <f t="shared" si="34"/>
        <v>0</v>
      </c>
    </row>
    <row r="178" spans="1:10" ht="15" thickBot="1" x14ac:dyDescent="0.25">
      <c r="A178" s="222"/>
      <c r="B178" s="247"/>
      <c r="C178" s="229" t="s">
        <v>448</v>
      </c>
      <c r="D178" s="240"/>
      <c r="E178" s="301">
        <f t="shared" ref="E178:J178" si="35">SUM(E136:E177)</f>
        <v>308218.84999999992</v>
      </c>
      <c r="F178" s="301">
        <f t="shared" si="35"/>
        <v>330900</v>
      </c>
      <c r="G178" s="301">
        <f t="shared" si="35"/>
        <v>309200</v>
      </c>
      <c r="H178" s="301">
        <f t="shared" si="35"/>
        <v>339200</v>
      </c>
      <c r="I178" s="301">
        <f t="shared" si="35"/>
        <v>359200</v>
      </c>
      <c r="J178" s="301">
        <f t="shared" si="35"/>
        <v>341600</v>
      </c>
    </row>
    <row r="179" spans="1:10" ht="15" thickTop="1" x14ac:dyDescent="0.2"/>
  </sheetData>
  <mergeCells count="106">
    <mergeCell ref="A105:J105"/>
    <mergeCell ref="A99:E99"/>
    <mergeCell ref="A100:J100"/>
    <mergeCell ref="A101:E101"/>
    <mergeCell ref="A102:E102"/>
    <mergeCell ref="A103:J103"/>
    <mergeCell ref="A104:E104"/>
    <mergeCell ref="A93:J93"/>
    <mergeCell ref="A94:J94"/>
    <mergeCell ref="A95:J95"/>
    <mergeCell ref="A96:J96"/>
    <mergeCell ref="A97:J97"/>
    <mergeCell ref="A98:J98"/>
    <mergeCell ref="A87:J87"/>
    <mergeCell ref="A88:J88"/>
    <mergeCell ref="A89:J89"/>
    <mergeCell ref="A90:J90"/>
    <mergeCell ref="A91:J91"/>
    <mergeCell ref="A92:J92"/>
    <mergeCell ref="A81:C81"/>
    <mergeCell ref="A82:C82"/>
    <mergeCell ref="A83:C83"/>
    <mergeCell ref="A84:D84"/>
    <mergeCell ref="A85:J85"/>
    <mergeCell ref="A86:J86"/>
    <mergeCell ref="C75:D75"/>
    <mergeCell ref="C76:D76"/>
    <mergeCell ref="A77:D77"/>
    <mergeCell ref="A78:J78"/>
    <mergeCell ref="A79:J79"/>
    <mergeCell ref="A80:C80"/>
    <mergeCell ref="A72:J72"/>
    <mergeCell ref="A73:D73"/>
    <mergeCell ref="E73:E74"/>
    <mergeCell ref="F73:F74"/>
    <mergeCell ref="G73:G74"/>
    <mergeCell ref="H73:H74"/>
    <mergeCell ref="I73:I74"/>
    <mergeCell ref="J73:J74"/>
    <mergeCell ref="C74:D74"/>
    <mergeCell ref="B66:D66"/>
    <mergeCell ref="B67:D67"/>
    <mergeCell ref="B68:D68"/>
    <mergeCell ref="A69:D69"/>
    <mergeCell ref="A70:D70"/>
    <mergeCell ref="A71:J71"/>
    <mergeCell ref="B59:D59"/>
    <mergeCell ref="B60:D60"/>
    <mergeCell ref="B61:D61"/>
    <mergeCell ref="A62:D62"/>
    <mergeCell ref="B64:D64"/>
    <mergeCell ref="B65:D65"/>
    <mergeCell ref="A53:D53"/>
    <mergeCell ref="A54:J54"/>
    <mergeCell ref="A55:J55"/>
    <mergeCell ref="B56:D56"/>
    <mergeCell ref="A57:I57"/>
    <mergeCell ref="B58:D58"/>
    <mergeCell ref="A48:C48"/>
    <mergeCell ref="D48:J48"/>
    <mergeCell ref="A49:J49"/>
    <mergeCell ref="A50:J50"/>
    <mergeCell ref="B51:D51"/>
    <mergeCell ref="B52:D52"/>
    <mergeCell ref="A42:D42"/>
    <mergeCell ref="A43:J43"/>
    <mergeCell ref="A44:J44"/>
    <mergeCell ref="A45:D45"/>
    <mergeCell ref="A46:J46"/>
    <mergeCell ref="A47:J47"/>
    <mergeCell ref="A36:J36"/>
    <mergeCell ref="A37:J37"/>
    <mergeCell ref="C38:D38"/>
    <mergeCell ref="C39:D39"/>
    <mergeCell ref="A40:D40"/>
    <mergeCell ref="A41:J41"/>
    <mergeCell ref="B30:D30"/>
    <mergeCell ref="B31:D31"/>
    <mergeCell ref="B32:D32"/>
    <mergeCell ref="B33:D33"/>
    <mergeCell ref="B34:D34"/>
    <mergeCell ref="A35:D35"/>
    <mergeCell ref="A24:J24"/>
    <mergeCell ref="B25:D25"/>
    <mergeCell ref="A26:D26"/>
    <mergeCell ref="A27:D27"/>
    <mergeCell ref="A28:J28"/>
    <mergeCell ref="A29:J29"/>
    <mergeCell ref="A18:J18"/>
    <mergeCell ref="B19:D19"/>
    <mergeCell ref="A20:J20"/>
    <mergeCell ref="B21:D21"/>
    <mergeCell ref="A22:D22"/>
    <mergeCell ref="A23:J23"/>
    <mergeCell ref="A12:J12"/>
    <mergeCell ref="A13:J13"/>
    <mergeCell ref="A14:J14"/>
    <mergeCell ref="A15:J15"/>
    <mergeCell ref="A16:J16"/>
    <mergeCell ref="A17:J17"/>
    <mergeCell ref="A1:J1"/>
    <mergeCell ref="A2:J2"/>
    <mergeCell ref="A3:J3"/>
    <mergeCell ref="A9:J9"/>
    <mergeCell ref="A10:J10"/>
    <mergeCell ref="A11:J11"/>
  </mergeCells>
  <pageMargins left="0.25" right="0.25" top="0.75" bottom="0.75" header="0.3" footer="0.3"/>
  <pageSetup fitToHeight="0" orientation="portrait" r:id="rId1"/>
  <rowBreaks count="4" manualBreakCount="4">
    <brk id="46" max="9" man="1"/>
    <brk id="85" max="9" man="1"/>
    <brk id="106" max="16383" man="1"/>
    <brk id="13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90"/>
  <sheetViews>
    <sheet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ht="15" customHeight="1" x14ac:dyDescent="0.2">
      <c r="A1" s="98" t="s">
        <v>254</v>
      </c>
      <c r="B1" s="98"/>
      <c r="C1" s="99"/>
      <c r="D1" s="99"/>
      <c r="E1" s="99"/>
      <c r="F1" s="99"/>
      <c r="G1" s="99"/>
      <c r="H1" s="99"/>
      <c r="I1" s="99"/>
      <c r="J1" s="99"/>
    </row>
    <row r="2" spans="1:10" ht="15" customHeight="1" x14ac:dyDescent="0.2">
      <c r="A2" s="98" t="s">
        <v>449</v>
      </c>
      <c r="B2" s="98"/>
      <c r="C2" s="101"/>
      <c r="D2" s="101"/>
      <c r="E2" s="101"/>
      <c r="F2" s="101"/>
      <c r="G2" s="101"/>
      <c r="H2" s="101"/>
      <c r="I2" s="101"/>
      <c r="J2" s="101"/>
    </row>
    <row r="3" spans="1:10" ht="15" thickBot="1" x14ac:dyDescent="0.25">
      <c r="A3" s="250"/>
      <c r="B3" s="251"/>
      <c r="C3" s="251"/>
      <c r="D3" s="251"/>
      <c r="E3" s="251"/>
      <c r="F3" s="251"/>
      <c r="G3" s="251"/>
      <c r="H3" s="251"/>
      <c r="I3" s="251"/>
      <c r="J3" s="252"/>
    </row>
    <row r="4" spans="1:10" x14ac:dyDescent="0.2">
      <c r="A4" s="253" t="s">
        <v>256</v>
      </c>
      <c r="B4" s="254" t="s">
        <v>257</v>
      </c>
      <c r="C4" s="254"/>
      <c r="D4" s="254"/>
      <c r="E4" s="254"/>
      <c r="F4" s="254"/>
      <c r="G4" s="255"/>
      <c r="H4" s="255"/>
      <c r="I4" s="255"/>
      <c r="J4" s="256"/>
    </row>
    <row r="5" spans="1:10" x14ac:dyDescent="0.2">
      <c r="A5" s="109"/>
      <c r="B5" s="106" t="s">
        <v>450</v>
      </c>
      <c r="C5" s="110"/>
      <c r="D5" s="110"/>
      <c r="E5" s="106"/>
      <c r="F5" s="106"/>
      <c r="G5" s="111"/>
      <c r="H5" s="111"/>
      <c r="I5" s="111"/>
      <c r="J5" s="112">
        <f>H45</f>
        <v>712900</v>
      </c>
    </row>
    <row r="6" spans="1:10" x14ac:dyDescent="0.2">
      <c r="A6" s="115" t="s">
        <v>260</v>
      </c>
      <c r="B6" s="116" t="s">
        <v>261</v>
      </c>
      <c r="C6" s="116"/>
      <c r="D6" s="116" t="s">
        <v>451</v>
      </c>
      <c r="E6" s="116"/>
      <c r="F6" s="116"/>
      <c r="G6" s="117"/>
      <c r="H6" s="117"/>
      <c r="I6" s="117"/>
      <c r="J6" s="118"/>
    </row>
    <row r="7" spans="1:10" ht="15" thickBot="1" x14ac:dyDescent="0.25">
      <c r="A7" s="119" t="s">
        <v>263</v>
      </c>
      <c r="B7" s="120" t="s">
        <v>452</v>
      </c>
      <c r="C7" s="120"/>
      <c r="D7" s="121"/>
      <c r="E7" s="121"/>
      <c r="F7" s="121"/>
      <c r="G7" s="123"/>
      <c r="H7" s="123"/>
      <c r="I7" s="123"/>
      <c r="J7" s="124"/>
    </row>
    <row r="8" spans="1:10" ht="15" x14ac:dyDescent="0.2">
      <c r="A8" s="280"/>
      <c r="B8" s="280"/>
      <c r="C8" s="280"/>
      <c r="D8" s="280"/>
      <c r="E8" s="280"/>
      <c r="F8" s="280"/>
      <c r="G8" s="280"/>
      <c r="H8" s="280"/>
      <c r="I8" s="280"/>
      <c r="J8" s="280"/>
    </row>
    <row r="9" spans="1:10" ht="15" customHeight="1" x14ac:dyDescent="0.2">
      <c r="A9" s="128" t="s">
        <v>265</v>
      </c>
      <c r="B9" s="128"/>
      <c r="C9" s="128"/>
      <c r="D9" s="128"/>
      <c r="E9" s="128"/>
      <c r="F9" s="128"/>
      <c r="G9" s="128"/>
      <c r="H9" s="128"/>
      <c r="I9" s="128"/>
      <c r="J9" s="128"/>
    </row>
    <row r="10" spans="1:10" x14ac:dyDescent="0.2">
      <c r="A10" s="129" t="s">
        <v>453</v>
      </c>
      <c r="B10" s="129"/>
      <c r="C10" s="129"/>
      <c r="D10" s="129"/>
      <c r="E10" s="129"/>
      <c r="F10" s="129"/>
      <c r="G10" s="129"/>
      <c r="H10" s="129"/>
      <c r="I10" s="129"/>
      <c r="J10" s="129"/>
    </row>
    <row r="11" spans="1:10" x14ac:dyDescent="0.2">
      <c r="A11" s="129"/>
      <c r="B11" s="129"/>
      <c r="C11" s="129"/>
      <c r="D11" s="129"/>
      <c r="E11" s="129"/>
      <c r="F11" s="129"/>
      <c r="G11" s="129"/>
      <c r="H11" s="129"/>
      <c r="I11" s="129"/>
      <c r="J11" s="129"/>
    </row>
    <row r="12" spans="1:10" ht="15" customHeight="1" x14ac:dyDescent="0.2">
      <c r="A12" s="128" t="s">
        <v>267</v>
      </c>
      <c r="B12" s="128"/>
      <c r="C12" s="128"/>
      <c r="D12" s="128"/>
      <c r="E12" s="128"/>
      <c r="F12" s="128"/>
      <c r="G12" s="128"/>
      <c r="H12" s="128"/>
      <c r="I12" s="128"/>
      <c r="J12" s="128"/>
    </row>
    <row r="13" spans="1:10" x14ac:dyDescent="0.2">
      <c r="A13" s="129" t="s">
        <v>454</v>
      </c>
      <c r="B13" s="129"/>
      <c r="C13" s="129"/>
      <c r="D13" s="129"/>
      <c r="E13" s="129"/>
      <c r="F13" s="129"/>
      <c r="G13" s="129"/>
      <c r="H13" s="129"/>
      <c r="I13" s="129"/>
      <c r="J13" s="129"/>
    </row>
    <row r="14" spans="1:10" x14ac:dyDescent="0.2">
      <c r="A14" s="129"/>
      <c r="B14" s="129"/>
      <c r="C14" s="129"/>
      <c r="D14" s="129"/>
      <c r="E14" s="129"/>
      <c r="F14" s="129"/>
      <c r="G14" s="129"/>
      <c r="H14" s="129"/>
      <c r="I14" s="129"/>
      <c r="J14" s="129"/>
    </row>
    <row r="15" spans="1:10" ht="15" customHeight="1" x14ac:dyDescent="0.2">
      <c r="A15" s="128" t="s">
        <v>269</v>
      </c>
      <c r="B15" s="128"/>
      <c r="C15" s="128"/>
      <c r="D15" s="128"/>
      <c r="E15" s="128"/>
      <c r="F15" s="128"/>
      <c r="G15" s="128"/>
      <c r="H15" s="128"/>
      <c r="I15" s="128"/>
      <c r="J15" s="128"/>
    </row>
    <row r="16" spans="1:10" ht="15" customHeight="1" x14ac:dyDescent="0.2">
      <c r="A16" s="129" t="s">
        <v>455</v>
      </c>
      <c r="B16" s="129"/>
      <c r="C16" s="129"/>
      <c r="D16" s="129"/>
      <c r="E16" s="129"/>
      <c r="F16" s="129"/>
      <c r="G16" s="129"/>
      <c r="H16" s="129"/>
      <c r="I16" s="129"/>
      <c r="J16" s="129"/>
    </row>
    <row r="17" spans="1:10" ht="8.25" customHeight="1" x14ac:dyDescent="0.2">
      <c r="A17" s="129"/>
      <c r="B17" s="129"/>
      <c r="C17" s="129"/>
      <c r="D17" s="129"/>
      <c r="E17" s="129"/>
      <c r="F17" s="129"/>
      <c r="G17" s="129"/>
      <c r="H17" s="129"/>
      <c r="I17" s="129"/>
      <c r="J17" s="129"/>
    </row>
    <row r="18" spans="1:10" ht="15" customHeight="1" x14ac:dyDescent="0.2">
      <c r="A18" s="128" t="s">
        <v>272</v>
      </c>
      <c r="B18" s="128"/>
      <c r="C18" s="128"/>
      <c r="D18" s="128"/>
      <c r="E18" s="128"/>
      <c r="F18" s="128"/>
      <c r="G18" s="128"/>
      <c r="H18" s="128"/>
      <c r="I18" s="128"/>
      <c r="J18" s="128"/>
    </row>
    <row r="19" spans="1:10" ht="15" customHeight="1" x14ac:dyDescent="0.2">
      <c r="A19" s="129" t="s">
        <v>456</v>
      </c>
      <c r="B19" s="129"/>
      <c r="C19" s="129"/>
      <c r="D19" s="129"/>
      <c r="E19" s="129"/>
      <c r="F19" s="129"/>
      <c r="G19" s="129"/>
      <c r="H19" s="129"/>
      <c r="I19" s="129"/>
      <c r="J19" s="129"/>
    </row>
    <row r="20" spans="1:10" ht="10.5" customHeight="1" x14ac:dyDescent="0.2">
      <c r="A20" s="129"/>
      <c r="B20" s="129"/>
      <c r="C20" s="129"/>
      <c r="D20" s="129"/>
      <c r="E20" s="129"/>
      <c r="F20" s="129"/>
      <c r="G20" s="129"/>
      <c r="H20" s="129"/>
      <c r="I20" s="129"/>
      <c r="J20" s="129"/>
    </row>
    <row r="21" spans="1:10" ht="15" customHeight="1" x14ac:dyDescent="0.2">
      <c r="A21" s="128" t="s">
        <v>275</v>
      </c>
      <c r="B21" s="128"/>
      <c r="C21" s="128"/>
      <c r="D21" s="128"/>
      <c r="E21" s="128"/>
      <c r="F21" s="128"/>
      <c r="G21" s="128"/>
      <c r="H21" s="128"/>
      <c r="I21" s="128"/>
      <c r="J21" s="128"/>
    </row>
    <row r="22" spans="1:10" s="302" customFormat="1" ht="33.75" x14ac:dyDescent="0.25">
      <c r="A22" s="130" t="s">
        <v>243</v>
      </c>
      <c r="B22" s="131" t="s">
        <v>242</v>
      </c>
      <c r="C22" s="131"/>
      <c r="D22" s="131"/>
      <c r="E22" s="132" t="str">
        <f>Summary!$G$25</f>
        <v>Actuals           2014-2015</v>
      </c>
      <c r="F22" s="132" t="str">
        <f>Summary!$H$25</f>
        <v>Approved Estimates          2015-2016</v>
      </c>
      <c r="G22" s="132" t="str">
        <f>Summary!$I$25</f>
        <v>Revised Estimates                 2015-2016</v>
      </c>
      <c r="H22" s="132" t="str">
        <f>Summary!$J$25</f>
        <v>Budget Estimates      2016-2017</v>
      </c>
      <c r="I22" s="132" t="str">
        <f>Summary!$K$25</f>
        <v>Forward Estimates     2017-2018</v>
      </c>
      <c r="J22" s="132" t="str">
        <f>Summary!$L$25</f>
        <v>Forward Estimates     2018-2019</v>
      </c>
    </row>
    <row r="23" spans="1:10" ht="11.25" customHeight="1" x14ac:dyDescent="0.2">
      <c r="A23" s="128" t="s">
        <v>276</v>
      </c>
      <c r="B23" s="128"/>
      <c r="C23" s="128"/>
      <c r="D23" s="128"/>
      <c r="E23" s="128"/>
      <c r="F23" s="128"/>
      <c r="G23" s="128"/>
      <c r="H23" s="128"/>
      <c r="I23" s="128"/>
      <c r="J23" s="128"/>
    </row>
    <row r="24" spans="1:10" ht="15" customHeight="1" x14ac:dyDescent="0.2">
      <c r="A24" s="208" t="s">
        <v>95</v>
      </c>
      <c r="B24" s="129" t="s">
        <v>96</v>
      </c>
      <c r="C24" s="129"/>
      <c r="D24" s="129"/>
      <c r="E24" s="211">
        <f t="shared" ref="E24:J24" si="0">E60</f>
        <v>309726.62</v>
      </c>
      <c r="F24" s="209">
        <f t="shared" si="0"/>
        <v>15500</v>
      </c>
      <c r="G24" s="211">
        <f t="shared" si="0"/>
        <v>44800</v>
      </c>
      <c r="H24" s="210">
        <f t="shared" si="0"/>
        <v>15500</v>
      </c>
      <c r="I24" s="211">
        <f t="shared" si="0"/>
        <v>15500</v>
      </c>
      <c r="J24" s="211">
        <f t="shared" si="0"/>
        <v>15500</v>
      </c>
    </row>
    <row r="25" spans="1:10" ht="15" customHeight="1" x14ac:dyDescent="0.2">
      <c r="A25" s="137" t="s">
        <v>457</v>
      </c>
      <c r="B25" s="137"/>
      <c r="C25" s="137"/>
      <c r="D25" s="137"/>
      <c r="E25" s="138">
        <f t="shared" ref="E25:J25" si="1">SUM(E24:E24)</f>
        <v>309726.62</v>
      </c>
      <c r="F25" s="138">
        <f t="shared" si="1"/>
        <v>15500</v>
      </c>
      <c r="G25" s="138">
        <f t="shared" si="1"/>
        <v>44800</v>
      </c>
      <c r="H25" s="138">
        <f t="shared" si="1"/>
        <v>15500</v>
      </c>
      <c r="I25" s="138">
        <f t="shared" si="1"/>
        <v>15500</v>
      </c>
      <c r="J25" s="138">
        <f t="shared" si="1"/>
        <v>15500</v>
      </c>
    </row>
    <row r="26" spans="1:10" ht="11.25" customHeight="1" x14ac:dyDescent="0.2">
      <c r="A26" s="129"/>
      <c r="B26" s="129"/>
      <c r="C26" s="129"/>
      <c r="D26" s="129"/>
      <c r="E26" s="129"/>
      <c r="F26" s="129"/>
      <c r="G26" s="129"/>
      <c r="H26" s="129"/>
      <c r="I26" s="129"/>
      <c r="J26" s="129"/>
    </row>
    <row r="27" spans="1:10" ht="12" customHeight="1" x14ac:dyDescent="0.2">
      <c r="A27" s="128" t="s">
        <v>281</v>
      </c>
      <c r="B27" s="128"/>
      <c r="C27" s="128"/>
      <c r="D27" s="128"/>
      <c r="E27" s="128"/>
      <c r="F27" s="128"/>
      <c r="G27" s="128"/>
      <c r="H27" s="128"/>
      <c r="I27" s="128"/>
      <c r="J27" s="128"/>
    </row>
    <row r="28" spans="1:10" ht="15" customHeight="1" x14ac:dyDescent="0.2">
      <c r="A28" s="208" t="s">
        <v>95</v>
      </c>
      <c r="B28" s="129" t="s">
        <v>96</v>
      </c>
      <c r="C28" s="129"/>
      <c r="D28" s="129"/>
      <c r="E28" s="211">
        <f t="shared" ref="E28:J28" si="2">E82+E88</f>
        <v>656476.92999999993</v>
      </c>
      <c r="F28" s="209">
        <f t="shared" si="2"/>
        <v>690300</v>
      </c>
      <c r="G28" s="211">
        <f t="shared" si="2"/>
        <v>626500</v>
      </c>
      <c r="H28" s="210">
        <f t="shared" si="2"/>
        <v>712900</v>
      </c>
      <c r="I28" s="211">
        <f t="shared" si="2"/>
        <v>795400</v>
      </c>
      <c r="J28" s="211">
        <f t="shared" si="2"/>
        <v>781900</v>
      </c>
    </row>
    <row r="29" spans="1:10" ht="15" customHeight="1" x14ac:dyDescent="0.2">
      <c r="A29" s="139" t="s">
        <v>458</v>
      </c>
      <c r="B29" s="139"/>
      <c r="C29" s="139"/>
      <c r="D29" s="139"/>
      <c r="E29" s="140">
        <f t="shared" ref="E29:J29" si="3">SUM(E28:E28)</f>
        <v>656476.92999999993</v>
      </c>
      <c r="F29" s="140">
        <f t="shared" si="3"/>
        <v>690300</v>
      </c>
      <c r="G29" s="140">
        <f t="shared" si="3"/>
        <v>626500</v>
      </c>
      <c r="H29" s="140">
        <f t="shared" si="3"/>
        <v>712900</v>
      </c>
      <c r="I29" s="140">
        <f t="shared" si="3"/>
        <v>795400</v>
      </c>
      <c r="J29" s="140">
        <f t="shared" si="3"/>
        <v>781900</v>
      </c>
    </row>
    <row r="30" spans="1:10" ht="10.5" customHeight="1" x14ac:dyDescent="0.2">
      <c r="A30" s="151"/>
      <c r="B30" s="151"/>
      <c r="C30" s="151"/>
      <c r="D30" s="151"/>
      <c r="E30" s="261"/>
      <c r="F30" s="286"/>
      <c r="G30" s="261"/>
      <c r="H30" s="303"/>
      <c r="I30" s="261"/>
      <c r="J30" s="261"/>
    </row>
    <row r="31" spans="1:10" ht="11.25" customHeight="1" x14ac:dyDescent="0.2">
      <c r="A31" s="141" t="s">
        <v>283</v>
      </c>
      <c r="B31" s="141"/>
      <c r="C31" s="141"/>
      <c r="D31" s="141"/>
      <c r="E31" s="141"/>
      <c r="F31" s="141"/>
      <c r="G31" s="141"/>
      <c r="H31" s="141"/>
      <c r="I31" s="141"/>
      <c r="J31" s="141"/>
    </row>
    <row r="32" spans="1:10" ht="15" customHeight="1" x14ac:dyDescent="0.2">
      <c r="A32" s="131" t="s">
        <v>284</v>
      </c>
      <c r="B32" s="131"/>
      <c r="C32" s="131"/>
      <c r="D32" s="131"/>
      <c r="E32" s="131"/>
      <c r="F32" s="131"/>
      <c r="G32" s="131"/>
      <c r="H32" s="131"/>
      <c r="I32" s="131"/>
      <c r="J32" s="131"/>
    </row>
    <row r="33" spans="1:10" x14ac:dyDescent="0.2">
      <c r="A33" s="261"/>
      <c r="B33" s="129" t="s">
        <v>7</v>
      </c>
      <c r="C33" s="101"/>
      <c r="D33" s="101"/>
      <c r="E33" s="211">
        <f t="shared" ref="E33:J33" si="4">E123</f>
        <v>364230.19</v>
      </c>
      <c r="F33" s="209">
        <f t="shared" si="4"/>
        <v>366800</v>
      </c>
      <c r="G33" s="211">
        <f t="shared" si="4"/>
        <v>350400</v>
      </c>
      <c r="H33" s="210">
        <f t="shared" si="4"/>
        <v>413600</v>
      </c>
      <c r="I33" s="211">
        <f t="shared" si="4"/>
        <v>479700</v>
      </c>
      <c r="J33" s="211">
        <f t="shared" si="4"/>
        <v>482600</v>
      </c>
    </row>
    <row r="34" spans="1:10" x14ac:dyDescent="0.2">
      <c r="A34" s="261"/>
      <c r="B34" s="129" t="s">
        <v>196</v>
      </c>
      <c r="C34" s="101"/>
      <c r="D34" s="101"/>
      <c r="E34" s="211">
        <f t="shared" ref="E34:J34" si="5">E127</f>
        <v>0</v>
      </c>
      <c r="F34" s="209">
        <f t="shared" si="5"/>
        <v>0</v>
      </c>
      <c r="G34" s="211">
        <f t="shared" si="5"/>
        <v>0</v>
      </c>
      <c r="H34" s="210">
        <f t="shared" si="5"/>
        <v>0</v>
      </c>
      <c r="I34" s="211">
        <f t="shared" si="5"/>
        <v>0</v>
      </c>
      <c r="J34" s="211">
        <f t="shared" si="5"/>
        <v>0</v>
      </c>
    </row>
    <row r="35" spans="1:10" x14ac:dyDescent="0.2">
      <c r="A35" s="261"/>
      <c r="B35" s="129" t="s">
        <v>285</v>
      </c>
      <c r="C35" s="101"/>
      <c r="D35" s="101"/>
      <c r="E35" s="211">
        <f t="shared" ref="E35:J35" si="6">E131</f>
        <v>124498.7</v>
      </c>
      <c r="F35" s="209">
        <f t="shared" si="6"/>
        <v>127500</v>
      </c>
      <c r="G35" s="211">
        <f t="shared" si="6"/>
        <v>95800</v>
      </c>
      <c r="H35" s="210">
        <f t="shared" si="6"/>
        <v>127500</v>
      </c>
      <c r="I35" s="211">
        <f t="shared" si="6"/>
        <v>127500</v>
      </c>
      <c r="J35" s="211">
        <f t="shared" si="6"/>
        <v>127500</v>
      </c>
    </row>
    <row r="36" spans="1:10" x14ac:dyDescent="0.2">
      <c r="A36" s="261"/>
      <c r="B36" s="129" t="s">
        <v>198</v>
      </c>
      <c r="C36" s="101"/>
      <c r="D36" s="101"/>
      <c r="E36" s="211">
        <f t="shared" ref="E36:J36" si="7">E135</f>
        <v>0</v>
      </c>
      <c r="F36" s="209">
        <f t="shared" si="7"/>
        <v>16400</v>
      </c>
      <c r="G36" s="211">
        <f t="shared" si="7"/>
        <v>0</v>
      </c>
      <c r="H36" s="210">
        <f t="shared" si="7"/>
        <v>0</v>
      </c>
      <c r="I36" s="211">
        <f t="shared" si="7"/>
        <v>16400</v>
      </c>
      <c r="J36" s="211">
        <f t="shared" si="7"/>
        <v>0</v>
      </c>
    </row>
    <row r="37" spans="1:10" x14ac:dyDescent="0.2">
      <c r="A37" s="261"/>
      <c r="B37" s="129" t="s">
        <v>286</v>
      </c>
      <c r="C37" s="101"/>
      <c r="D37" s="101"/>
      <c r="E37" s="211">
        <f t="shared" ref="E37:J37" si="8">E139</f>
        <v>167748.03999999998</v>
      </c>
      <c r="F37" s="209">
        <f t="shared" si="8"/>
        <v>179600</v>
      </c>
      <c r="G37" s="211">
        <f t="shared" si="8"/>
        <v>180300</v>
      </c>
      <c r="H37" s="210">
        <f t="shared" si="8"/>
        <v>171800</v>
      </c>
      <c r="I37" s="211">
        <f t="shared" si="8"/>
        <v>171800</v>
      </c>
      <c r="J37" s="211">
        <f t="shared" si="8"/>
        <v>171800</v>
      </c>
    </row>
    <row r="38" spans="1:10" ht="12" customHeight="1" x14ac:dyDescent="0.2">
      <c r="A38" s="139" t="s">
        <v>287</v>
      </c>
      <c r="B38" s="139"/>
      <c r="C38" s="139"/>
      <c r="D38" s="139"/>
      <c r="E38" s="140">
        <f t="shared" ref="E38:J38" si="9">SUM(E33:E37)</f>
        <v>656476.92999999993</v>
      </c>
      <c r="F38" s="140">
        <f t="shared" si="9"/>
        <v>690300</v>
      </c>
      <c r="G38" s="140">
        <f t="shared" si="9"/>
        <v>626500</v>
      </c>
      <c r="H38" s="140">
        <f t="shared" si="9"/>
        <v>712900</v>
      </c>
      <c r="I38" s="140">
        <f t="shared" si="9"/>
        <v>795400</v>
      </c>
      <c r="J38" s="140">
        <f t="shared" si="9"/>
        <v>781900</v>
      </c>
    </row>
    <row r="39" spans="1:10" ht="15" customHeight="1" x14ac:dyDescent="0.2">
      <c r="A39" s="129"/>
      <c r="B39" s="129"/>
      <c r="C39" s="129"/>
      <c r="D39" s="129"/>
      <c r="E39" s="129"/>
      <c r="F39" s="129"/>
      <c r="G39" s="129"/>
      <c r="H39" s="129"/>
      <c r="I39" s="129"/>
      <c r="J39" s="129"/>
    </row>
    <row r="40" spans="1:10" ht="12" customHeight="1" x14ac:dyDescent="0.2">
      <c r="A40" s="131" t="s">
        <v>15</v>
      </c>
      <c r="B40" s="131"/>
      <c r="C40" s="131"/>
      <c r="D40" s="131"/>
      <c r="E40" s="131"/>
      <c r="F40" s="131"/>
      <c r="G40" s="131"/>
      <c r="H40" s="131"/>
      <c r="I40" s="131"/>
      <c r="J40" s="131"/>
    </row>
    <row r="41" spans="1:10" ht="12" customHeight="1" x14ac:dyDescent="0.2">
      <c r="A41" s="130" t="s">
        <v>243</v>
      </c>
      <c r="B41" s="130" t="s">
        <v>244</v>
      </c>
      <c r="C41" s="131" t="s">
        <v>245</v>
      </c>
      <c r="D41" s="142"/>
      <c r="E41" s="143"/>
      <c r="F41" s="143"/>
      <c r="G41" s="143"/>
      <c r="H41" s="143"/>
      <c r="I41" s="143"/>
      <c r="J41" s="143"/>
    </row>
    <row r="42" spans="1:10" ht="12" customHeight="1" x14ac:dyDescent="0.2">
      <c r="A42" s="261"/>
      <c r="B42" s="261"/>
      <c r="C42" s="129"/>
      <c r="D42" s="101"/>
      <c r="E42" s="211"/>
      <c r="F42" s="209"/>
      <c r="G42" s="211"/>
      <c r="H42" s="210"/>
      <c r="I42" s="211"/>
      <c r="J42" s="211"/>
    </row>
    <row r="43" spans="1:10" ht="12" customHeight="1" x14ac:dyDescent="0.2">
      <c r="A43" s="139" t="s">
        <v>69</v>
      </c>
      <c r="B43" s="139"/>
      <c r="C43" s="139"/>
      <c r="D43" s="139"/>
      <c r="E43" s="140">
        <f t="shared" ref="E43:J43" si="10">SUM(E42:E42)</f>
        <v>0</v>
      </c>
      <c r="F43" s="140">
        <f t="shared" si="10"/>
        <v>0</v>
      </c>
      <c r="G43" s="140">
        <f t="shared" si="10"/>
        <v>0</v>
      </c>
      <c r="H43" s="140">
        <f t="shared" si="10"/>
        <v>0</v>
      </c>
      <c r="I43" s="140">
        <f t="shared" si="10"/>
        <v>0</v>
      </c>
      <c r="J43" s="140">
        <f t="shared" si="10"/>
        <v>0</v>
      </c>
    </row>
    <row r="44" spans="1:10" x14ac:dyDescent="0.2">
      <c r="A44" s="129"/>
      <c r="B44" s="129"/>
      <c r="C44" s="129"/>
      <c r="D44" s="129"/>
      <c r="E44" s="129"/>
      <c r="F44" s="129"/>
      <c r="G44" s="129"/>
      <c r="H44" s="129"/>
      <c r="I44" s="129"/>
      <c r="J44" s="129"/>
    </row>
    <row r="45" spans="1:10" x14ac:dyDescent="0.2">
      <c r="A45" s="137" t="s">
        <v>459</v>
      </c>
      <c r="B45" s="137"/>
      <c r="C45" s="137"/>
      <c r="D45" s="137"/>
      <c r="E45" s="147">
        <f t="shared" ref="E45:J45" si="11">SUM(E38,E43)</f>
        <v>656476.92999999993</v>
      </c>
      <c r="F45" s="147">
        <f t="shared" si="11"/>
        <v>690300</v>
      </c>
      <c r="G45" s="147">
        <f t="shared" si="11"/>
        <v>626500</v>
      </c>
      <c r="H45" s="147">
        <f t="shared" si="11"/>
        <v>712900</v>
      </c>
      <c r="I45" s="147">
        <f t="shared" si="11"/>
        <v>795400</v>
      </c>
      <c r="J45" s="147">
        <f t="shared" si="11"/>
        <v>781900</v>
      </c>
    </row>
    <row r="46" spans="1:10" ht="7.5" customHeight="1" x14ac:dyDescent="0.2">
      <c r="A46" s="129"/>
      <c r="B46" s="129"/>
      <c r="C46" s="129"/>
      <c r="D46" s="129"/>
      <c r="E46" s="129"/>
      <c r="F46" s="129"/>
      <c r="G46" s="129"/>
      <c r="H46" s="129"/>
      <c r="I46" s="129"/>
      <c r="J46" s="129"/>
    </row>
    <row r="47" spans="1:10" ht="12" customHeight="1" x14ac:dyDescent="0.2">
      <c r="A47" s="128" t="s">
        <v>288</v>
      </c>
      <c r="B47" s="128"/>
      <c r="C47" s="128"/>
      <c r="D47" s="128"/>
      <c r="E47" s="128"/>
      <c r="F47" s="128"/>
      <c r="G47" s="128"/>
      <c r="H47" s="128"/>
      <c r="I47" s="128"/>
      <c r="J47" s="128"/>
    </row>
    <row r="48" spans="1:10" ht="15" customHeight="1" x14ac:dyDescent="0.2">
      <c r="A48" s="137" t="s">
        <v>289</v>
      </c>
      <c r="B48" s="137"/>
      <c r="C48" s="137"/>
      <c r="D48" s="137"/>
      <c r="E48" s="149"/>
      <c r="F48" s="149"/>
      <c r="G48" s="149"/>
      <c r="H48" s="148"/>
      <c r="I48" s="149"/>
      <c r="J48" s="149"/>
    </row>
    <row r="49" spans="1:10" ht="15" customHeight="1" x14ac:dyDescent="0.2">
      <c r="A49" s="129"/>
      <c r="B49" s="129"/>
      <c r="C49" s="129"/>
      <c r="D49" s="129"/>
      <c r="E49" s="129"/>
      <c r="F49" s="129"/>
      <c r="G49" s="129"/>
      <c r="H49" s="129"/>
      <c r="I49" s="129"/>
      <c r="J49" s="129"/>
    </row>
    <row r="50" spans="1:10" ht="15" customHeight="1" x14ac:dyDescent="0.2">
      <c r="A50" s="150" t="s">
        <v>460</v>
      </c>
      <c r="B50" s="150"/>
      <c r="C50" s="150"/>
      <c r="D50" s="150"/>
      <c r="E50" s="150"/>
      <c r="F50" s="150"/>
      <c r="G50" s="150"/>
      <c r="H50" s="150"/>
      <c r="I50" s="150"/>
      <c r="J50" s="150"/>
    </row>
    <row r="51" spans="1:10" ht="15" customHeight="1" x14ac:dyDescent="0.2">
      <c r="A51" s="151" t="s">
        <v>291</v>
      </c>
      <c r="B51" s="151"/>
      <c r="C51" s="151"/>
      <c r="D51" s="101"/>
      <c r="E51" s="101"/>
      <c r="F51" s="101"/>
      <c r="G51" s="101"/>
      <c r="H51" s="101"/>
      <c r="I51" s="101"/>
      <c r="J51" s="101"/>
    </row>
    <row r="52" spans="1:10" x14ac:dyDescent="0.2">
      <c r="A52" s="129" t="s">
        <v>461</v>
      </c>
      <c r="B52" s="129"/>
      <c r="C52" s="129"/>
      <c r="D52" s="129"/>
      <c r="E52" s="129"/>
      <c r="F52" s="129"/>
      <c r="G52" s="129"/>
      <c r="H52" s="129"/>
      <c r="I52" s="129"/>
      <c r="J52" s="129"/>
    </row>
    <row r="53" spans="1:10" x14ac:dyDescent="0.2">
      <c r="A53" s="128" t="s">
        <v>293</v>
      </c>
      <c r="B53" s="128"/>
      <c r="C53" s="128"/>
      <c r="D53" s="128"/>
      <c r="E53" s="128"/>
      <c r="F53" s="128"/>
      <c r="G53" s="128"/>
      <c r="H53" s="128"/>
      <c r="I53" s="128"/>
      <c r="J53" s="128"/>
    </row>
    <row r="54" spans="1:10" ht="33.75" x14ac:dyDescent="0.2">
      <c r="A54" s="152" t="s">
        <v>243</v>
      </c>
      <c r="B54" s="151" t="s">
        <v>242</v>
      </c>
      <c r="C54" s="151"/>
      <c r="D54" s="151"/>
      <c r="E54" s="132" t="str">
        <f t="shared" ref="E54:J54" si="12">E22</f>
        <v>Actuals           2014-2015</v>
      </c>
      <c r="F54" s="132" t="str">
        <f t="shared" si="12"/>
        <v>Approved Estimates          2015-2016</v>
      </c>
      <c r="G54" s="132" t="str">
        <f t="shared" si="12"/>
        <v>Revised Estimates                 2015-2016</v>
      </c>
      <c r="H54" s="132" t="str">
        <f t="shared" si="12"/>
        <v>Budget Estimates      2016-2017</v>
      </c>
      <c r="I54" s="132" t="str">
        <f t="shared" si="12"/>
        <v>Forward Estimates     2017-2018</v>
      </c>
      <c r="J54" s="132" t="str">
        <f t="shared" si="12"/>
        <v>Forward Estimates     2018-2019</v>
      </c>
    </row>
    <row r="55" spans="1:10" x14ac:dyDescent="0.2">
      <c r="A55" s="133">
        <v>130</v>
      </c>
      <c r="B55" s="134" t="s">
        <v>462</v>
      </c>
      <c r="C55" s="134"/>
      <c r="D55" s="134"/>
      <c r="E55" s="135">
        <v>1736.5800000000002</v>
      </c>
      <c r="F55" s="158">
        <v>1500</v>
      </c>
      <c r="G55" s="158">
        <v>1500</v>
      </c>
      <c r="H55" s="136">
        <v>1500</v>
      </c>
      <c r="I55" s="158">
        <v>1500</v>
      </c>
      <c r="J55" s="158">
        <v>1500</v>
      </c>
    </row>
    <row r="56" spans="1:10" x14ac:dyDescent="0.2">
      <c r="A56" s="133">
        <v>130</v>
      </c>
      <c r="B56" s="134" t="s">
        <v>463</v>
      </c>
      <c r="C56" s="134"/>
      <c r="D56" s="134"/>
      <c r="E56" s="135">
        <v>165922.04</v>
      </c>
      <c r="F56" s="158">
        <v>0</v>
      </c>
      <c r="G56" s="158">
        <v>0</v>
      </c>
      <c r="H56" s="136">
        <v>0</v>
      </c>
      <c r="I56" s="158">
        <v>0</v>
      </c>
      <c r="J56" s="158">
        <v>0</v>
      </c>
    </row>
    <row r="57" spans="1:10" x14ac:dyDescent="0.2">
      <c r="A57" s="133">
        <v>130</v>
      </c>
      <c r="B57" s="134" t="s">
        <v>464</v>
      </c>
      <c r="C57" s="134"/>
      <c r="D57" s="134"/>
      <c r="E57" s="135">
        <v>6900</v>
      </c>
      <c r="F57" s="158">
        <v>10000</v>
      </c>
      <c r="G57" s="158">
        <v>39300</v>
      </c>
      <c r="H57" s="136">
        <v>10000</v>
      </c>
      <c r="I57" s="158">
        <v>10000</v>
      </c>
      <c r="J57" s="158">
        <v>10000</v>
      </c>
    </row>
    <row r="58" spans="1:10" x14ac:dyDescent="0.2">
      <c r="A58" s="133">
        <v>130</v>
      </c>
      <c r="B58" s="134" t="s">
        <v>465</v>
      </c>
      <c r="C58" s="134"/>
      <c r="D58" s="134"/>
      <c r="E58" s="135">
        <v>128236</v>
      </c>
      <c r="F58" s="158">
        <v>0</v>
      </c>
      <c r="G58" s="158">
        <v>0</v>
      </c>
      <c r="H58" s="136">
        <v>0</v>
      </c>
      <c r="I58" s="158">
        <v>0</v>
      </c>
      <c r="J58" s="158">
        <v>0</v>
      </c>
    </row>
    <row r="59" spans="1:10" x14ac:dyDescent="0.2">
      <c r="A59" s="133">
        <v>160</v>
      </c>
      <c r="B59" s="134" t="s">
        <v>466</v>
      </c>
      <c r="C59" s="134"/>
      <c r="D59" s="134"/>
      <c r="E59" s="135">
        <v>6932</v>
      </c>
      <c r="F59" s="158">
        <v>4000</v>
      </c>
      <c r="G59" s="158">
        <v>4000</v>
      </c>
      <c r="H59" s="136">
        <v>4000</v>
      </c>
      <c r="I59" s="158">
        <v>4000</v>
      </c>
      <c r="J59" s="158">
        <v>4000</v>
      </c>
    </row>
    <row r="60" spans="1:10" x14ac:dyDescent="0.2">
      <c r="A60" s="137" t="s">
        <v>457</v>
      </c>
      <c r="B60" s="137"/>
      <c r="C60" s="137"/>
      <c r="D60" s="137"/>
      <c r="E60" s="138">
        <f t="shared" ref="E60:J60" si="13">SUM(E55:E59)</f>
        <v>309726.62</v>
      </c>
      <c r="F60" s="138">
        <f t="shared" si="13"/>
        <v>15500</v>
      </c>
      <c r="G60" s="138">
        <f t="shared" si="13"/>
        <v>44800</v>
      </c>
      <c r="H60" s="138">
        <f t="shared" si="13"/>
        <v>15500</v>
      </c>
      <c r="I60" s="138">
        <f t="shared" si="13"/>
        <v>15500</v>
      </c>
      <c r="J60" s="138">
        <f t="shared" si="13"/>
        <v>15500</v>
      </c>
    </row>
    <row r="61" spans="1:10" x14ac:dyDescent="0.2">
      <c r="A61" s="129"/>
      <c r="B61" s="129"/>
      <c r="C61" s="129"/>
      <c r="D61" s="129"/>
      <c r="E61" s="129"/>
      <c r="F61" s="129"/>
      <c r="G61" s="129"/>
      <c r="H61" s="129"/>
      <c r="I61" s="129"/>
      <c r="J61" s="129"/>
    </row>
    <row r="62" spans="1:10" ht="15" customHeight="1" x14ac:dyDescent="0.2">
      <c r="A62" s="128" t="s">
        <v>284</v>
      </c>
      <c r="B62" s="128"/>
      <c r="C62" s="128"/>
      <c r="D62" s="128"/>
      <c r="E62" s="128"/>
      <c r="F62" s="128"/>
      <c r="G62" s="128"/>
      <c r="H62" s="128"/>
      <c r="I62" s="128"/>
      <c r="J62" s="128"/>
    </row>
    <row r="63" spans="1:10" ht="33.75" x14ac:dyDescent="0.2">
      <c r="A63" s="152" t="s">
        <v>243</v>
      </c>
      <c r="B63" s="151" t="s">
        <v>242</v>
      </c>
      <c r="C63" s="151"/>
      <c r="D63" s="151"/>
      <c r="E63" s="132" t="str">
        <f t="shared" ref="E63:J63" si="14">E22</f>
        <v>Actuals           2014-2015</v>
      </c>
      <c r="F63" s="132" t="str">
        <f t="shared" si="14"/>
        <v>Approved Estimates          2015-2016</v>
      </c>
      <c r="G63" s="132" t="str">
        <f t="shared" si="14"/>
        <v>Revised Estimates                 2015-2016</v>
      </c>
      <c r="H63" s="132" t="str">
        <f t="shared" si="14"/>
        <v>Budget Estimates      2016-2017</v>
      </c>
      <c r="I63" s="132" t="str">
        <f t="shared" si="14"/>
        <v>Forward Estimates     2017-2018</v>
      </c>
      <c r="J63" s="132" t="str">
        <f t="shared" si="14"/>
        <v>Forward Estimates     2018-2019</v>
      </c>
    </row>
    <row r="64" spans="1:10" x14ac:dyDescent="0.2">
      <c r="A64" s="151" t="s">
        <v>7</v>
      </c>
      <c r="B64" s="151"/>
      <c r="C64" s="151"/>
      <c r="D64" s="151"/>
      <c r="E64" s="151"/>
      <c r="F64" s="151"/>
      <c r="G64" s="151"/>
      <c r="H64" s="151"/>
      <c r="I64" s="151"/>
      <c r="J64" s="190"/>
    </row>
    <row r="65" spans="1:10" x14ac:dyDescent="0.2">
      <c r="A65" s="133">
        <v>210</v>
      </c>
      <c r="B65" s="134" t="s">
        <v>7</v>
      </c>
      <c r="C65" s="134"/>
      <c r="D65" s="134"/>
      <c r="E65" s="135">
        <v>364230.19</v>
      </c>
      <c r="F65" s="262">
        <v>366800</v>
      </c>
      <c r="G65" s="262">
        <v>350400</v>
      </c>
      <c r="H65" s="136">
        <v>413600</v>
      </c>
      <c r="I65" s="158">
        <v>479700</v>
      </c>
      <c r="J65" s="158">
        <v>482600</v>
      </c>
    </row>
    <row r="66" spans="1:10" x14ac:dyDescent="0.2">
      <c r="A66" s="133">
        <v>212</v>
      </c>
      <c r="B66" s="134" t="s">
        <v>9</v>
      </c>
      <c r="C66" s="134"/>
      <c r="D66" s="134"/>
      <c r="E66" s="135">
        <v>0</v>
      </c>
      <c r="F66" s="262">
        <v>0</v>
      </c>
      <c r="G66" s="262">
        <v>0</v>
      </c>
      <c r="H66" s="136">
        <v>0</v>
      </c>
      <c r="I66" s="158">
        <v>0</v>
      </c>
      <c r="J66" s="158">
        <v>0</v>
      </c>
    </row>
    <row r="67" spans="1:10" x14ac:dyDescent="0.2">
      <c r="A67" s="133">
        <v>216</v>
      </c>
      <c r="B67" s="134" t="s">
        <v>10</v>
      </c>
      <c r="C67" s="134"/>
      <c r="D67" s="134"/>
      <c r="E67" s="135">
        <v>124498.7</v>
      </c>
      <c r="F67" s="262">
        <v>127500</v>
      </c>
      <c r="G67" s="262">
        <v>95800</v>
      </c>
      <c r="H67" s="136">
        <v>127500</v>
      </c>
      <c r="I67" s="158">
        <v>127500</v>
      </c>
      <c r="J67" s="158">
        <v>127500</v>
      </c>
    </row>
    <row r="68" spans="1:10" x14ac:dyDescent="0.2">
      <c r="A68" s="133">
        <v>218</v>
      </c>
      <c r="B68" s="134" t="s">
        <v>294</v>
      </c>
      <c r="C68" s="134"/>
      <c r="D68" s="134"/>
      <c r="E68" s="135">
        <v>0</v>
      </c>
      <c r="F68" s="262">
        <v>16400</v>
      </c>
      <c r="G68" s="262">
        <v>0</v>
      </c>
      <c r="H68" s="136">
        <v>0</v>
      </c>
      <c r="I68" s="158">
        <v>16400</v>
      </c>
      <c r="J68" s="158">
        <v>0</v>
      </c>
    </row>
    <row r="69" spans="1:10" x14ac:dyDescent="0.2">
      <c r="A69" s="196" t="s">
        <v>295</v>
      </c>
      <c r="B69" s="196"/>
      <c r="C69" s="196"/>
      <c r="D69" s="196"/>
      <c r="E69" s="197">
        <f t="shared" ref="E69:J69" si="15">SUM(E65:E68)</f>
        <v>488728.89</v>
      </c>
      <c r="F69" s="197">
        <f t="shared" si="15"/>
        <v>510700</v>
      </c>
      <c r="G69" s="197">
        <f t="shared" si="15"/>
        <v>446200</v>
      </c>
      <c r="H69" s="197">
        <f t="shared" si="15"/>
        <v>541100</v>
      </c>
      <c r="I69" s="197">
        <f t="shared" si="15"/>
        <v>623600</v>
      </c>
      <c r="J69" s="197">
        <f t="shared" si="15"/>
        <v>610100</v>
      </c>
    </row>
    <row r="70" spans="1:10" ht="15" customHeight="1" x14ac:dyDescent="0.2">
      <c r="A70" s="193" t="s">
        <v>296</v>
      </c>
      <c r="B70" s="263"/>
      <c r="C70" s="263"/>
      <c r="D70" s="263"/>
      <c r="E70" s="263"/>
      <c r="F70" s="263"/>
      <c r="G70" s="263"/>
      <c r="H70" s="263"/>
      <c r="I70" s="263"/>
      <c r="J70" s="195"/>
    </row>
    <row r="71" spans="1:10" x14ac:dyDescent="0.2">
      <c r="A71" s="198">
        <v>226</v>
      </c>
      <c r="B71" s="199" t="s">
        <v>207</v>
      </c>
      <c r="C71" s="199"/>
      <c r="D71" s="199"/>
      <c r="E71" s="200">
        <v>10732.07</v>
      </c>
      <c r="F71" s="304">
        <v>9600</v>
      </c>
      <c r="G71" s="304">
        <v>9600</v>
      </c>
      <c r="H71" s="201">
        <v>9600</v>
      </c>
      <c r="I71" s="288">
        <v>9600</v>
      </c>
      <c r="J71" s="288">
        <v>9600</v>
      </c>
    </row>
    <row r="72" spans="1:10" x14ac:dyDescent="0.2">
      <c r="A72" s="133">
        <v>228</v>
      </c>
      <c r="B72" s="134" t="s">
        <v>208</v>
      </c>
      <c r="C72" s="134"/>
      <c r="D72" s="134"/>
      <c r="E72" s="135">
        <v>20983.14</v>
      </c>
      <c r="F72" s="262">
        <v>13500</v>
      </c>
      <c r="G72" s="262">
        <v>12900</v>
      </c>
      <c r="H72" s="136">
        <v>13500</v>
      </c>
      <c r="I72" s="288">
        <v>13500</v>
      </c>
      <c r="J72" s="288">
        <v>13500</v>
      </c>
    </row>
    <row r="73" spans="1:10" x14ac:dyDescent="0.2">
      <c r="A73" s="133">
        <v>230</v>
      </c>
      <c r="B73" s="134" t="s">
        <v>210</v>
      </c>
      <c r="C73" s="134"/>
      <c r="D73" s="134"/>
      <c r="E73" s="135">
        <v>3500</v>
      </c>
      <c r="F73" s="262">
        <v>3500</v>
      </c>
      <c r="G73" s="262">
        <v>3500</v>
      </c>
      <c r="H73" s="136">
        <v>3500</v>
      </c>
      <c r="I73" s="288">
        <v>3500</v>
      </c>
      <c r="J73" s="288">
        <v>3500</v>
      </c>
    </row>
    <row r="74" spans="1:10" x14ac:dyDescent="0.2">
      <c r="A74" s="133">
        <v>232</v>
      </c>
      <c r="B74" s="134" t="s">
        <v>211</v>
      </c>
      <c r="C74" s="134"/>
      <c r="D74" s="134"/>
      <c r="E74" s="135">
        <v>10145.92</v>
      </c>
      <c r="F74" s="262">
        <v>7500</v>
      </c>
      <c r="G74" s="262">
        <v>5700</v>
      </c>
      <c r="H74" s="136">
        <v>7500</v>
      </c>
      <c r="I74" s="288">
        <v>7500</v>
      </c>
      <c r="J74" s="288">
        <v>7500</v>
      </c>
    </row>
    <row r="75" spans="1:10" x14ac:dyDescent="0.2">
      <c r="A75" s="133">
        <v>234</v>
      </c>
      <c r="B75" s="134" t="s">
        <v>212</v>
      </c>
      <c r="C75" s="134"/>
      <c r="D75" s="134"/>
      <c r="E75" s="135">
        <v>8028</v>
      </c>
      <c r="F75" s="262">
        <v>5700</v>
      </c>
      <c r="G75" s="262">
        <v>12400</v>
      </c>
      <c r="H75" s="136">
        <v>7700</v>
      </c>
      <c r="I75" s="288">
        <v>7700</v>
      </c>
      <c r="J75" s="288">
        <v>7700</v>
      </c>
    </row>
    <row r="76" spans="1:10" x14ac:dyDescent="0.2">
      <c r="A76" s="133">
        <v>236</v>
      </c>
      <c r="B76" s="134" t="s">
        <v>467</v>
      </c>
      <c r="C76" s="134"/>
      <c r="D76" s="134"/>
      <c r="E76" s="135">
        <v>80397.539999999994</v>
      </c>
      <c r="F76" s="262">
        <v>117800</v>
      </c>
      <c r="G76" s="262">
        <v>116000</v>
      </c>
      <c r="H76" s="136">
        <v>110000</v>
      </c>
      <c r="I76" s="288">
        <v>110000</v>
      </c>
      <c r="J76" s="288">
        <v>110000</v>
      </c>
    </row>
    <row r="77" spans="1:10" x14ac:dyDescent="0.2">
      <c r="A77" s="133">
        <v>240</v>
      </c>
      <c r="B77" s="134" t="s">
        <v>468</v>
      </c>
      <c r="C77" s="134"/>
      <c r="D77" s="134"/>
      <c r="E77" s="135">
        <v>4500</v>
      </c>
      <c r="F77" s="262">
        <v>5000</v>
      </c>
      <c r="G77" s="262">
        <v>4900</v>
      </c>
      <c r="H77" s="136">
        <v>5000</v>
      </c>
      <c r="I77" s="288">
        <v>5000</v>
      </c>
      <c r="J77" s="288">
        <v>5000</v>
      </c>
    </row>
    <row r="78" spans="1:10" x14ac:dyDescent="0.2">
      <c r="A78" s="133">
        <v>246</v>
      </c>
      <c r="B78" s="134" t="s">
        <v>218</v>
      </c>
      <c r="C78" s="134"/>
      <c r="D78" s="134"/>
      <c r="E78" s="135">
        <v>8044.3</v>
      </c>
      <c r="F78" s="262">
        <v>7000</v>
      </c>
      <c r="G78" s="262">
        <v>9200</v>
      </c>
      <c r="H78" s="136">
        <v>7000</v>
      </c>
      <c r="I78" s="288">
        <v>7000</v>
      </c>
      <c r="J78" s="288">
        <v>7000</v>
      </c>
    </row>
    <row r="79" spans="1:10" x14ac:dyDescent="0.2">
      <c r="A79" s="133">
        <v>260</v>
      </c>
      <c r="B79" s="134" t="s">
        <v>220</v>
      </c>
      <c r="C79" s="134"/>
      <c r="D79" s="134"/>
      <c r="E79" s="135">
        <v>14000</v>
      </c>
      <c r="F79" s="262">
        <v>0</v>
      </c>
      <c r="G79" s="262">
        <v>0</v>
      </c>
      <c r="H79" s="136">
        <v>0</v>
      </c>
      <c r="I79" s="288">
        <v>0</v>
      </c>
      <c r="J79" s="288">
        <v>0</v>
      </c>
    </row>
    <row r="80" spans="1:10" x14ac:dyDescent="0.2">
      <c r="A80" s="133">
        <v>275</v>
      </c>
      <c r="B80" s="134" t="s">
        <v>228</v>
      </c>
      <c r="C80" s="134"/>
      <c r="D80" s="134"/>
      <c r="E80" s="135">
        <v>7417.07</v>
      </c>
      <c r="F80" s="262">
        <v>10000</v>
      </c>
      <c r="G80" s="262">
        <v>6100</v>
      </c>
      <c r="H80" s="136">
        <v>8000</v>
      </c>
      <c r="I80" s="288">
        <v>8000</v>
      </c>
      <c r="J80" s="288">
        <v>8000</v>
      </c>
    </row>
    <row r="81" spans="1:10" ht="15" customHeight="1" x14ac:dyDescent="0.2">
      <c r="A81" s="156" t="s">
        <v>298</v>
      </c>
      <c r="B81" s="156"/>
      <c r="C81" s="156"/>
      <c r="D81" s="156"/>
      <c r="E81" s="157">
        <f t="shared" ref="E81:J81" si="16">SUM(E71:E80)</f>
        <v>167748.03999999998</v>
      </c>
      <c r="F81" s="264">
        <f t="shared" si="16"/>
        <v>179600</v>
      </c>
      <c r="G81" s="264">
        <f t="shared" si="16"/>
        <v>180300</v>
      </c>
      <c r="H81" s="157">
        <f t="shared" si="16"/>
        <v>171800</v>
      </c>
      <c r="I81" s="157">
        <f t="shared" si="16"/>
        <v>171800</v>
      </c>
      <c r="J81" s="157">
        <f t="shared" si="16"/>
        <v>171800</v>
      </c>
    </row>
    <row r="82" spans="1:10" ht="15" customHeight="1" x14ac:dyDescent="0.2">
      <c r="A82" s="159" t="s">
        <v>299</v>
      </c>
      <c r="B82" s="159"/>
      <c r="C82" s="159"/>
      <c r="D82" s="159"/>
      <c r="E82" s="160">
        <f t="shared" ref="E82:J82" si="17">SUM(E69,E81)</f>
        <v>656476.92999999993</v>
      </c>
      <c r="F82" s="160">
        <f t="shared" si="17"/>
        <v>690300</v>
      </c>
      <c r="G82" s="160">
        <f t="shared" si="17"/>
        <v>626500</v>
      </c>
      <c r="H82" s="160">
        <f t="shared" si="17"/>
        <v>712900</v>
      </c>
      <c r="I82" s="160">
        <f t="shared" si="17"/>
        <v>795400</v>
      </c>
      <c r="J82" s="160">
        <f t="shared" si="17"/>
        <v>781900</v>
      </c>
    </row>
    <row r="83" spans="1:10" ht="15" customHeight="1" x14ac:dyDescent="0.2">
      <c r="A83" s="129"/>
      <c r="B83" s="129"/>
      <c r="C83" s="129"/>
      <c r="D83" s="129"/>
      <c r="E83" s="129"/>
      <c r="F83" s="129"/>
      <c r="G83" s="129"/>
      <c r="H83" s="129"/>
      <c r="I83" s="129"/>
      <c r="J83" s="190"/>
    </row>
    <row r="84" spans="1:10" ht="15" customHeight="1" x14ac:dyDescent="0.2">
      <c r="A84" s="162" t="s">
        <v>15</v>
      </c>
      <c r="B84" s="162"/>
      <c r="C84" s="162"/>
      <c r="D84" s="162"/>
      <c r="E84" s="162"/>
      <c r="F84" s="162"/>
      <c r="G84" s="162"/>
      <c r="H84" s="162"/>
      <c r="I84" s="162"/>
      <c r="J84" s="162"/>
    </row>
    <row r="85" spans="1:10" ht="18.75" customHeight="1" x14ac:dyDescent="0.2">
      <c r="A85" s="131" t="s">
        <v>242</v>
      </c>
      <c r="B85" s="131"/>
      <c r="C85" s="131"/>
      <c r="D85" s="131"/>
      <c r="E85" s="128" t="str">
        <f t="shared" ref="E85:J85" si="18">E22</f>
        <v>Actuals           2014-2015</v>
      </c>
      <c r="F85" s="128" t="str">
        <f t="shared" si="18"/>
        <v>Approved Estimates          2015-2016</v>
      </c>
      <c r="G85" s="128" t="str">
        <f t="shared" si="18"/>
        <v>Revised Estimates                 2015-2016</v>
      </c>
      <c r="H85" s="128" t="str">
        <f t="shared" si="18"/>
        <v>Budget Estimates      2016-2017</v>
      </c>
      <c r="I85" s="128" t="str">
        <f t="shared" si="18"/>
        <v>Forward Estimates     2017-2018</v>
      </c>
      <c r="J85" s="128" t="str">
        <f t="shared" si="18"/>
        <v>Forward Estimates     2018-2019</v>
      </c>
    </row>
    <row r="86" spans="1:10" x14ac:dyDescent="0.2">
      <c r="A86" s="130" t="s">
        <v>243</v>
      </c>
      <c r="B86" s="130" t="s">
        <v>244</v>
      </c>
      <c r="C86" s="131" t="s">
        <v>245</v>
      </c>
      <c r="D86" s="131"/>
      <c r="E86" s="101"/>
      <c r="F86" s="101"/>
      <c r="G86" s="101"/>
      <c r="H86" s="101"/>
      <c r="I86" s="101"/>
      <c r="J86" s="101"/>
    </row>
    <row r="87" spans="1:10" ht="15" customHeight="1" x14ac:dyDescent="0.2">
      <c r="A87" s="163"/>
      <c r="B87" s="163"/>
      <c r="C87" s="156"/>
      <c r="D87" s="156"/>
      <c r="E87" s="158"/>
      <c r="F87" s="209"/>
      <c r="G87" s="158"/>
      <c r="H87" s="136"/>
      <c r="I87" s="158"/>
      <c r="J87" s="135"/>
    </row>
    <row r="88" spans="1:10" x14ac:dyDescent="0.2">
      <c r="A88" s="137" t="s">
        <v>15</v>
      </c>
      <c r="B88" s="137"/>
      <c r="C88" s="137"/>
      <c r="D88" s="137"/>
      <c r="E88" s="164">
        <v>0</v>
      </c>
      <c r="F88" s="164">
        <v>0</v>
      </c>
      <c r="G88" s="164">
        <v>0</v>
      </c>
      <c r="H88" s="164">
        <v>0</v>
      </c>
      <c r="I88" s="164">
        <v>0</v>
      </c>
      <c r="J88" s="164">
        <v>0</v>
      </c>
    </row>
    <row r="89" spans="1:10" x14ac:dyDescent="0.2">
      <c r="A89" s="290"/>
      <c r="B89" s="290"/>
      <c r="C89" s="290"/>
      <c r="D89" s="290"/>
      <c r="E89" s="290"/>
      <c r="F89" s="290"/>
      <c r="G89" s="290"/>
      <c r="H89" s="290"/>
      <c r="I89" s="290"/>
      <c r="J89" s="290"/>
    </row>
    <row r="90" spans="1:10" ht="15" customHeight="1" x14ac:dyDescent="0.2">
      <c r="A90" s="161" t="s">
        <v>288</v>
      </c>
      <c r="B90" s="161"/>
      <c r="C90" s="161"/>
      <c r="D90" s="161"/>
      <c r="E90" s="161"/>
      <c r="F90" s="202"/>
      <c r="G90" s="202"/>
      <c r="H90" s="202"/>
      <c r="I90" s="202"/>
      <c r="J90" s="202"/>
    </row>
    <row r="91" spans="1:10" x14ac:dyDescent="0.2">
      <c r="A91" s="131" t="s">
        <v>300</v>
      </c>
      <c r="B91" s="131"/>
      <c r="C91" s="131"/>
      <c r="D91" s="132" t="s">
        <v>301</v>
      </c>
      <c r="E91" s="291" t="s">
        <v>302</v>
      </c>
      <c r="F91" s="131" t="s">
        <v>300</v>
      </c>
      <c r="G91" s="131"/>
      <c r="H91" s="131"/>
      <c r="I91" s="132" t="s">
        <v>301</v>
      </c>
      <c r="J91" s="132" t="s">
        <v>302</v>
      </c>
    </row>
    <row r="92" spans="1:10" ht="14.25" customHeight="1" x14ac:dyDescent="0.2">
      <c r="A92" s="134" t="str">
        <f>Establishment!D48</f>
        <v>Registrar</v>
      </c>
      <c r="B92" s="134"/>
      <c r="C92" s="134"/>
      <c r="D92" s="133" t="str">
        <f>Establishment!E48</f>
        <v>R14-10</v>
      </c>
      <c r="E92" s="268">
        <f>Establishment!C48</f>
        <v>1</v>
      </c>
      <c r="F92" s="134" t="str">
        <f>Establishment!D52</f>
        <v>Executive Officer</v>
      </c>
      <c r="G92" s="134"/>
      <c r="H92" s="134"/>
      <c r="I92" s="133" t="str">
        <f>Establishment!E52</f>
        <v>R28-22</v>
      </c>
      <c r="J92" s="133">
        <f>Establishment!C52</f>
        <v>1</v>
      </c>
    </row>
    <row r="93" spans="1:10" ht="14.25" customHeight="1" x14ac:dyDescent="0.2">
      <c r="A93" s="134" t="str">
        <f>Establishment!D49</f>
        <v>Deputy Registrar/Asst Magistrate</v>
      </c>
      <c r="B93" s="134"/>
      <c r="C93" s="134"/>
      <c r="D93" s="133" t="str">
        <f>Establishment!E49</f>
        <v>R12</v>
      </c>
      <c r="E93" s="268">
        <f>Establishment!C49</f>
        <v>1</v>
      </c>
      <c r="F93" s="134" t="str">
        <f>Establishment!D53</f>
        <v>Clerical Officer (Snr)</v>
      </c>
      <c r="G93" s="134"/>
      <c r="H93" s="134"/>
      <c r="I93" s="133" t="str">
        <f>Establishment!E53</f>
        <v>R33-29</v>
      </c>
      <c r="J93" s="133">
        <f>Establishment!C53</f>
        <v>1</v>
      </c>
    </row>
    <row r="94" spans="1:10" ht="15" customHeight="1" x14ac:dyDescent="0.2">
      <c r="A94" s="134" t="str">
        <f>Establishment!D50</f>
        <v>Court Reporter</v>
      </c>
      <c r="B94" s="134"/>
      <c r="C94" s="134"/>
      <c r="D94" s="133" t="str">
        <f>Establishment!E50</f>
        <v>R28-22</v>
      </c>
      <c r="E94" s="268">
        <f>Establishment!C50</f>
        <v>1</v>
      </c>
      <c r="F94" s="134" t="str">
        <f>Establishment!D54</f>
        <v>Clerical Officer  </v>
      </c>
      <c r="G94" s="134"/>
      <c r="H94" s="134"/>
      <c r="I94" s="133" t="str">
        <f>Establishment!E54</f>
        <v>R46-34</v>
      </c>
      <c r="J94" s="133">
        <f>Establishment!C54</f>
        <v>2</v>
      </c>
    </row>
    <row r="95" spans="1:10" x14ac:dyDescent="0.2">
      <c r="A95" s="134" t="str">
        <f>Establishment!D51</f>
        <v>Bailiff</v>
      </c>
      <c r="B95" s="134"/>
      <c r="C95" s="134"/>
      <c r="D95" s="133" t="str">
        <f>Establishment!E51</f>
        <v>R28-22</v>
      </c>
      <c r="E95" s="268">
        <f>Establishment!C51</f>
        <v>1</v>
      </c>
      <c r="F95" s="134" t="str">
        <f>Establishment!D55</f>
        <v>Office Attendant</v>
      </c>
      <c r="G95" s="134"/>
      <c r="H95" s="134"/>
      <c r="I95" s="133"/>
      <c r="J95" s="133">
        <f>Establishment!C55</f>
        <v>1</v>
      </c>
    </row>
    <row r="96" spans="1:10" ht="14.25" customHeight="1" x14ac:dyDescent="0.2">
      <c r="A96" s="203" t="s">
        <v>303</v>
      </c>
      <c r="B96" s="203"/>
      <c r="C96" s="203"/>
      <c r="D96" s="203"/>
      <c r="E96" s="203"/>
      <c r="F96" s="203"/>
      <c r="G96" s="203"/>
      <c r="H96" s="203"/>
      <c r="I96" s="203"/>
      <c r="J96" s="204">
        <f>SUM(E92:E95,J92:J95)</f>
        <v>9</v>
      </c>
    </row>
    <row r="97" spans="1:10" x14ac:dyDescent="0.2">
      <c r="A97" s="129"/>
      <c r="B97" s="129"/>
      <c r="C97" s="129"/>
      <c r="D97" s="129"/>
      <c r="E97" s="129"/>
      <c r="F97" s="179"/>
      <c r="G97" s="179"/>
      <c r="H97" s="179"/>
      <c r="I97" s="179"/>
      <c r="J97" s="179"/>
    </row>
    <row r="98" spans="1:10" x14ac:dyDescent="0.2">
      <c r="A98" s="180" t="s">
        <v>304</v>
      </c>
      <c r="B98" s="180"/>
      <c r="C98" s="180"/>
      <c r="D98" s="180"/>
      <c r="E98" s="180"/>
      <c r="F98" s="180"/>
      <c r="G98" s="180"/>
      <c r="H98" s="180"/>
      <c r="I98" s="180"/>
      <c r="J98" s="180"/>
    </row>
    <row r="99" spans="1:10" ht="15" customHeight="1" x14ac:dyDescent="0.2">
      <c r="A99" s="181" t="s">
        <v>305</v>
      </c>
      <c r="B99" s="181"/>
      <c r="C99" s="181"/>
      <c r="D99" s="181"/>
      <c r="E99" s="181"/>
      <c r="F99" s="181"/>
      <c r="G99" s="181"/>
      <c r="H99" s="181"/>
      <c r="I99" s="181"/>
      <c r="J99" s="181"/>
    </row>
    <row r="100" spans="1:10" ht="23.25" customHeight="1" x14ac:dyDescent="0.2">
      <c r="A100" s="129" t="s">
        <v>469</v>
      </c>
      <c r="B100" s="129"/>
      <c r="C100" s="129"/>
      <c r="D100" s="129"/>
      <c r="E100" s="129"/>
      <c r="F100" s="129"/>
      <c r="G100" s="129"/>
      <c r="H100" s="129"/>
      <c r="I100" s="129"/>
      <c r="J100" s="129"/>
    </row>
    <row r="101" spans="1:10" ht="23.25" customHeight="1" x14ac:dyDescent="0.2">
      <c r="A101" s="129" t="s">
        <v>470</v>
      </c>
      <c r="B101" s="129"/>
      <c r="C101" s="129"/>
      <c r="D101" s="129"/>
      <c r="E101" s="129"/>
      <c r="F101" s="129"/>
      <c r="G101" s="129"/>
      <c r="H101" s="129"/>
      <c r="I101" s="129"/>
      <c r="J101" s="129"/>
    </row>
    <row r="102" spans="1:10" ht="35.25" customHeight="1" x14ac:dyDescent="0.2">
      <c r="A102" s="129" t="s">
        <v>471</v>
      </c>
      <c r="B102" s="129"/>
      <c r="C102" s="129"/>
      <c r="D102" s="129"/>
      <c r="E102" s="129"/>
      <c r="F102" s="129"/>
      <c r="G102" s="129"/>
      <c r="H102" s="129"/>
      <c r="I102" s="129"/>
      <c r="J102" s="129"/>
    </row>
    <row r="103" spans="1:10" ht="23.25" customHeight="1" x14ac:dyDescent="0.2">
      <c r="A103" s="129" t="s">
        <v>472</v>
      </c>
      <c r="B103" s="129"/>
      <c r="C103" s="129"/>
      <c r="D103" s="129"/>
      <c r="E103" s="129"/>
      <c r="F103" s="129"/>
      <c r="G103" s="129"/>
      <c r="H103" s="129"/>
      <c r="I103" s="129"/>
      <c r="J103" s="129"/>
    </row>
    <row r="104" spans="1:10" x14ac:dyDescent="0.2">
      <c r="A104" s="129"/>
      <c r="B104" s="129"/>
      <c r="C104" s="129"/>
      <c r="D104" s="129"/>
      <c r="E104" s="129"/>
      <c r="F104" s="129"/>
      <c r="G104" s="129"/>
      <c r="H104" s="129"/>
      <c r="I104" s="129"/>
      <c r="J104" s="129"/>
    </row>
    <row r="105" spans="1:10" x14ac:dyDescent="0.2">
      <c r="A105" s="183" t="s">
        <v>415</v>
      </c>
      <c r="B105" s="183"/>
      <c r="C105" s="183"/>
      <c r="D105" s="183"/>
      <c r="E105" s="183"/>
      <c r="F105" s="183"/>
      <c r="G105" s="183"/>
      <c r="H105" s="183"/>
      <c r="I105" s="183"/>
      <c r="J105" s="183"/>
    </row>
    <row r="106" spans="1:10" ht="22.5" customHeight="1" x14ac:dyDescent="0.2">
      <c r="A106" s="129" t="s">
        <v>473</v>
      </c>
      <c r="B106" s="129"/>
      <c r="C106" s="129"/>
      <c r="D106" s="129"/>
      <c r="E106" s="129"/>
      <c r="F106" s="129"/>
      <c r="G106" s="129"/>
      <c r="H106" s="129"/>
      <c r="I106" s="129"/>
      <c r="J106" s="129"/>
    </row>
    <row r="107" spans="1:10" x14ac:dyDescent="0.2">
      <c r="A107" s="129"/>
      <c r="B107" s="129"/>
      <c r="C107" s="129"/>
      <c r="D107" s="129"/>
      <c r="E107" s="129"/>
      <c r="F107" s="129"/>
      <c r="G107" s="129"/>
      <c r="H107" s="129"/>
      <c r="I107" s="129"/>
      <c r="J107" s="129"/>
    </row>
    <row r="108" spans="1:10" ht="22.5" x14ac:dyDescent="0.2">
      <c r="A108" s="180" t="s">
        <v>315</v>
      </c>
      <c r="B108" s="180"/>
      <c r="C108" s="180"/>
      <c r="D108" s="180"/>
      <c r="E108" s="180"/>
      <c r="F108" s="184" t="s">
        <v>2995</v>
      </c>
      <c r="G108" s="184" t="s">
        <v>2996</v>
      </c>
      <c r="H108" s="184" t="s">
        <v>2997</v>
      </c>
      <c r="I108" s="184" t="s">
        <v>2998</v>
      </c>
      <c r="J108" s="184" t="s">
        <v>2999</v>
      </c>
    </row>
    <row r="109" spans="1:10" x14ac:dyDescent="0.2">
      <c r="A109" s="180" t="s">
        <v>316</v>
      </c>
      <c r="B109" s="180"/>
      <c r="C109" s="180"/>
      <c r="D109" s="180"/>
      <c r="E109" s="180"/>
      <c r="F109" s="180"/>
      <c r="G109" s="180"/>
      <c r="H109" s="180"/>
      <c r="I109" s="180"/>
      <c r="J109" s="180"/>
    </row>
    <row r="110" spans="1:10" ht="21.75" customHeight="1" x14ac:dyDescent="0.2">
      <c r="A110" s="269" t="s">
        <v>474</v>
      </c>
      <c r="B110" s="269"/>
      <c r="C110" s="269"/>
      <c r="D110" s="269"/>
      <c r="E110" s="269"/>
      <c r="F110" s="272" t="s">
        <v>475</v>
      </c>
      <c r="G110" s="272">
        <v>1545</v>
      </c>
      <c r="H110" s="272">
        <v>1545</v>
      </c>
      <c r="I110" s="272">
        <v>1545</v>
      </c>
      <c r="J110" s="272">
        <v>1545</v>
      </c>
    </row>
    <row r="111" spans="1:10" x14ac:dyDescent="0.2">
      <c r="A111" s="269" t="s">
        <v>476</v>
      </c>
      <c r="B111" s="269"/>
      <c r="C111" s="269"/>
      <c r="D111" s="269"/>
      <c r="E111" s="269"/>
      <c r="F111" s="272" t="s">
        <v>477</v>
      </c>
      <c r="G111" s="272" t="s">
        <v>477</v>
      </c>
      <c r="H111" s="272" t="s">
        <v>477</v>
      </c>
      <c r="I111" s="272" t="s">
        <v>477</v>
      </c>
      <c r="J111" s="272" t="s">
        <v>477</v>
      </c>
    </row>
    <row r="112" spans="1:10" ht="24" customHeight="1" x14ac:dyDescent="0.2">
      <c r="A112" s="269" t="s">
        <v>478</v>
      </c>
      <c r="B112" s="269"/>
      <c r="C112" s="269"/>
      <c r="D112" s="269"/>
      <c r="E112" s="269"/>
      <c r="F112" s="272" t="s">
        <v>479</v>
      </c>
      <c r="G112" s="272" t="s">
        <v>480</v>
      </c>
      <c r="H112" s="305" t="s">
        <v>481</v>
      </c>
      <c r="I112" s="272" t="s">
        <v>480</v>
      </c>
      <c r="J112" s="272" t="s">
        <v>480</v>
      </c>
    </row>
    <row r="113" spans="1:10" x14ac:dyDescent="0.2">
      <c r="A113" s="188"/>
      <c r="B113" s="188"/>
      <c r="C113" s="188"/>
      <c r="D113" s="188"/>
      <c r="E113" s="188"/>
      <c r="F113" s="273"/>
      <c r="G113" s="190"/>
      <c r="H113" s="190"/>
      <c r="I113" s="190"/>
      <c r="J113" s="190"/>
    </row>
    <row r="114" spans="1:10" ht="23.25" customHeight="1" x14ac:dyDescent="0.2">
      <c r="A114" s="180" t="s">
        <v>324</v>
      </c>
      <c r="B114" s="180"/>
      <c r="C114" s="180"/>
      <c r="D114" s="180"/>
      <c r="E114" s="180"/>
      <c r="F114" s="180"/>
      <c r="G114" s="180"/>
      <c r="H114" s="180"/>
      <c r="I114" s="180"/>
      <c r="J114" s="180"/>
    </row>
    <row r="115" spans="1:10" ht="15" customHeight="1" x14ac:dyDescent="0.2">
      <c r="A115" s="306" t="s">
        <v>482</v>
      </c>
      <c r="B115" s="306"/>
      <c r="C115" s="306"/>
      <c r="D115" s="306"/>
      <c r="E115" s="306"/>
      <c r="F115" s="272" t="s">
        <v>483</v>
      </c>
      <c r="G115" s="272" t="s">
        <v>484</v>
      </c>
      <c r="H115" s="272">
        <v>0.85</v>
      </c>
      <c r="I115" s="272">
        <v>0.85</v>
      </c>
      <c r="J115" s="272">
        <v>0.85</v>
      </c>
    </row>
    <row r="116" spans="1:10" x14ac:dyDescent="0.2">
      <c r="A116" s="306" t="s">
        <v>485</v>
      </c>
      <c r="B116" s="306"/>
      <c r="C116" s="306"/>
      <c r="D116" s="306"/>
      <c r="E116" s="306"/>
      <c r="F116" s="272" t="s">
        <v>480</v>
      </c>
      <c r="G116" s="272" t="s">
        <v>480</v>
      </c>
      <c r="H116" s="272" t="s">
        <v>486</v>
      </c>
      <c r="I116" s="272" t="s">
        <v>487</v>
      </c>
      <c r="J116" s="272" t="s">
        <v>488</v>
      </c>
    </row>
    <row r="117" spans="1:10" ht="15" customHeight="1" x14ac:dyDescent="0.2">
      <c r="A117" s="307"/>
      <c r="B117" s="308"/>
      <c r="C117" s="308"/>
      <c r="D117" s="308"/>
      <c r="E117" s="308"/>
      <c r="F117" s="308"/>
      <c r="G117" s="308"/>
      <c r="H117" s="308"/>
      <c r="I117" s="308"/>
      <c r="J117" s="309"/>
    </row>
    <row r="118" spans="1:10" x14ac:dyDescent="0.2">
      <c r="A118" s="222"/>
      <c r="B118" s="222"/>
      <c r="C118" s="222"/>
      <c r="D118" s="222"/>
      <c r="E118" s="274" t="s">
        <v>382</v>
      </c>
      <c r="F118" s="229"/>
      <c r="G118" s="222"/>
      <c r="H118" s="222"/>
      <c r="I118" s="222"/>
      <c r="J118" s="223" t="s">
        <v>383</v>
      </c>
    </row>
    <row r="119" spans="1:10" ht="34.5" thickBot="1" x14ac:dyDescent="0.25">
      <c r="A119" s="224"/>
      <c r="B119" s="224" t="s">
        <v>188</v>
      </c>
      <c r="C119" s="225"/>
      <c r="D119" s="226"/>
      <c r="E119" s="184" t="str">
        <f t="shared" ref="E119:J119" si="19">E22</f>
        <v>Actuals           2014-2015</v>
      </c>
      <c r="F119" s="184" t="str">
        <f t="shared" si="19"/>
        <v>Approved Estimates          2015-2016</v>
      </c>
      <c r="G119" s="184" t="str">
        <f t="shared" si="19"/>
        <v>Revised Estimates                 2015-2016</v>
      </c>
      <c r="H119" s="184" t="str">
        <f t="shared" si="19"/>
        <v>Budget Estimates      2016-2017</v>
      </c>
      <c r="I119" s="184" t="str">
        <f t="shared" si="19"/>
        <v>Forward Estimates     2017-2018</v>
      </c>
      <c r="J119" s="184" t="str">
        <f t="shared" si="19"/>
        <v>Forward Estimates     2018-2019</v>
      </c>
    </row>
    <row r="120" spans="1:10" x14ac:dyDescent="0.2">
      <c r="A120" s="227"/>
      <c r="B120" s="227"/>
      <c r="C120" s="227"/>
      <c r="D120" s="227"/>
      <c r="E120" s="227"/>
      <c r="F120" s="227"/>
      <c r="G120" s="227"/>
      <c r="H120" s="227"/>
      <c r="I120" s="228"/>
      <c r="J120" s="227"/>
    </row>
    <row r="121" spans="1:10" x14ac:dyDescent="0.2">
      <c r="A121" s="229" t="s">
        <v>7</v>
      </c>
      <c r="B121" s="229"/>
      <c r="C121" s="229"/>
      <c r="D121" s="229"/>
      <c r="E121" s="222"/>
      <c r="F121" s="230"/>
      <c r="G121" s="230"/>
      <c r="H121" s="230"/>
      <c r="I121" s="222"/>
      <c r="J121" s="222"/>
    </row>
    <row r="122" spans="1:10" x14ac:dyDescent="0.2">
      <c r="A122" s="222"/>
      <c r="B122" s="222" t="s">
        <v>96</v>
      </c>
      <c r="C122" s="222"/>
      <c r="D122" s="222"/>
      <c r="E122" s="231">
        <f t="shared" ref="E122:J122" si="20">E65</f>
        <v>364230.19</v>
      </c>
      <c r="F122" s="231">
        <f t="shared" si="20"/>
        <v>366800</v>
      </c>
      <c r="G122" s="231">
        <f t="shared" si="20"/>
        <v>350400</v>
      </c>
      <c r="H122" s="231">
        <f t="shared" si="20"/>
        <v>413600</v>
      </c>
      <c r="I122" s="231">
        <f t="shared" si="20"/>
        <v>479700</v>
      </c>
      <c r="J122" s="231">
        <f t="shared" si="20"/>
        <v>482600</v>
      </c>
    </row>
    <row r="123" spans="1:10" x14ac:dyDescent="0.2">
      <c r="A123" s="222"/>
      <c r="B123" s="222"/>
      <c r="C123" s="229" t="s">
        <v>385</v>
      </c>
      <c r="D123" s="235"/>
      <c r="E123" s="236">
        <f t="shared" ref="E123:J123" si="21">SUM(E122:E122)</f>
        <v>364230.19</v>
      </c>
      <c r="F123" s="236">
        <f t="shared" si="21"/>
        <v>366800</v>
      </c>
      <c r="G123" s="236">
        <f t="shared" si="21"/>
        <v>350400</v>
      </c>
      <c r="H123" s="236">
        <f t="shared" si="21"/>
        <v>413600</v>
      </c>
      <c r="I123" s="236">
        <f t="shared" si="21"/>
        <v>479700</v>
      </c>
      <c r="J123" s="236">
        <f t="shared" si="21"/>
        <v>482600</v>
      </c>
    </row>
    <row r="124" spans="1:10" ht="15" thickBot="1" x14ac:dyDescent="0.25">
      <c r="A124" s="222"/>
      <c r="B124" s="222"/>
      <c r="C124" s="229"/>
      <c r="D124" s="235"/>
      <c r="E124" s="275"/>
      <c r="F124" s="275"/>
      <c r="G124" s="275"/>
      <c r="H124" s="275"/>
      <c r="I124" s="275"/>
      <c r="J124" s="275"/>
    </row>
    <row r="125" spans="1:10" x14ac:dyDescent="0.2">
      <c r="A125" s="237" t="s">
        <v>196</v>
      </c>
      <c r="B125" s="237"/>
      <c r="C125" s="233"/>
      <c r="D125" s="238"/>
      <c r="E125" s="242"/>
      <c r="F125" s="242"/>
      <c r="G125" s="242"/>
      <c r="H125" s="227"/>
      <c r="I125" s="227"/>
      <c r="J125" s="227"/>
    </row>
    <row r="126" spans="1:10" x14ac:dyDescent="0.2">
      <c r="A126" s="222"/>
      <c r="B126" s="222" t="s">
        <v>96</v>
      </c>
      <c r="C126" s="222"/>
      <c r="D126" s="238"/>
      <c r="E126" s="231">
        <f t="shared" ref="E126:J126" si="22">E66</f>
        <v>0</v>
      </c>
      <c r="F126" s="231">
        <f t="shared" si="22"/>
        <v>0</v>
      </c>
      <c r="G126" s="231">
        <f t="shared" si="22"/>
        <v>0</v>
      </c>
      <c r="H126" s="231">
        <f t="shared" si="22"/>
        <v>0</v>
      </c>
      <c r="I126" s="231">
        <f t="shared" si="22"/>
        <v>0</v>
      </c>
      <c r="J126" s="231">
        <f t="shared" si="22"/>
        <v>0</v>
      </c>
    </row>
    <row r="127" spans="1:10" x14ac:dyDescent="0.2">
      <c r="A127" s="229"/>
      <c r="B127" s="229"/>
      <c r="C127" s="229" t="s">
        <v>386</v>
      </c>
      <c r="D127" s="239"/>
      <c r="E127" s="236">
        <f t="shared" ref="E127:J127" si="23">SUM(E126:E126)</f>
        <v>0</v>
      </c>
      <c r="F127" s="236">
        <f t="shared" si="23"/>
        <v>0</v>
      </c>
      <c r="G127" s="236">
        <f t="shared" si="23"/>
        <v>0</v>
      </c>
      <c r="H127" s="236">
        <f t="shared" si="23"/>
        <v>0</v>
      </c>
      <c r="I127" s="236">
        <f t="shared" si="23"/>
        <v>0</v>
      </c>
      <c r="J127" s="236">
        <f t="shared" si="23"/>
        <v>0</v>
      </c>
    </row>
    <row r="128" spans="1:10" ht="15" thickBot="1" x14ac:dyDescent="0.25">
      <c r="A128" s="229"/>
      <c r="B128" s="229"/>
      <c r="C128" s="229"/>
      <c r="D128" s="239"/>
      <c r="E128" s="275"/>
      <c r="F128" s="275"/>
      <c r="G128" s="275"/>
      <c r="H128" s="275"/>
      <c r="I128" s="275"/>
      <c r="J128" s="275"/>
    </row>
    <row r="129" spans="1:10" x14ac:dyDescent="0.2">
      <c r="A129" s="229" t="s">
        <v>387</v>
      </c>
      <c r="B129" s="222"/>
      <c r="C129" s="222"/>
      <c r="D129" s="240"/>
      <c r="E129" s="241"/>
      <c r="F129" s="241"/>
      <c r="G129" s="241"/>
      <c r="H129" s="241"/>
      <c r="I129" s="241"/>
      <c r="J129" s="241"/>
    </row>
    <row r="130" spans="1:10" x14ac:dyDescent="0.2">
      <c r="A130" s="222"/>
      <c r="B130" s="222" t="s">
        <v>96</v>
      </c>
      <c r="C130" s="222"/>
      <c r="D130" s="238"/>
      <c r="E130" s="231">
        <f t="shared" ref="E130:J130" si="24">E67</f>
        <v>124498.7</v>
      </c>
      <c r="F130" s="231">
        <f t="shared" si="24"/>
        <v>127500</v>
      </c>
      <c r="G130" s="231">
        <f t="shared" si="24"/>
        <v>95800</v>
      </c>
      <c r="H130" s="231">
        <f t="shared" si="24"/>
        <v>127500</v>
      </c>
      <c r="I130" s="231">
        <f t="shared" si="24"/>
        <v>127500</v>
      </c>
      <c r="J130" s="231">
        <f t="shared" si="24"/>
        <v>127500</v>
      </c>
    </row>
    <row r="131" spans="1:10" ht="15" thickBot="1" x14ac:dyDescent="0.25">
      <c r="A131" s="222"/>
      <c r="B131" s="222"/>
      <c r="C131" s="229" t="s">
        <v>388</v>
      </c>
      <c r="D131" s="240"/>
      <c r="E131" s="236">
        <f t="shared" ref="E131:J131" si="25">SUM(E130:E130)</f>
        <v>124498.7</v>
      </c>
      <c r="F131" s="236">
        <f t="shared" si="25"/>
        <v>127500</v>
      </c>
      <c r="G131" s="236">
        <f t="shared" si="25"/>
        <v>95800</v>
      </c>
      <c r="H131" s="236">
        <f t="shared" si="25"/>
        <v>127500</v>
      </c>
      <c r="I131" s="236">
        <f t="shared" si="25"/>
        <v>127500</v>
      </c>
      <c r="J131" s="236">
        <f t="shared" si="25"/>
        <v>127500</v>
      </c>
    </row>
    <row r="132" spans="1:10" x14ac:dyDescent="0.2">
      <c r="A132" s="240"/>
      <c r="B132" s="229"/>
      <c r="C132" s="222"/>
      <c r="D132" s="240"/>
      <c r="E132" s="242"/>
      <c r="F132" s="242"/>
      <c r="G132" s="242"/>
      <c r="H132" s="242"/>
      <c r="I132" s="242"/>
      <c r="J132" s="242"/>
    </row>
    <row r="133" spans="1:10" x14ac:dyDescent="0.2">
      <c r="A133" s="229" t="s">
        <v>198</v>
      </c>
      <c r="B133" s="222"/>
      <c r="C133" s="222"/>
      <c r="D133" s="240"/>
      <c r="E133" s="230"/>
      <c r="F133" s="230"/>
      <c r="G133" s="230"/>
      <c r="H133" s="230"/>
      <c r="I133" s="230"/>
      <c r="J133" s="230"/>
    </row>
    <row r="134" spans="1:10" x14ac:dyDescent="0.2">
      <c r="A134" s="222"/>
      <c r="B134" s="222" t="s">
        <v>96</v>
      </c>
      <c r="C134" s="222"/>
      <c r="D134" s="240"/>
      <c r="E134" s="231">
        <f t="shared" ref="E134:J134" si="26">E68</f>
        <v>0</v>
      </c>
      <c r="F134" s="231">
        <f t="shared" si="26"/>
        <v>16400</v>
      </c>
      <c r="G134" s="231">
        <f t="shared" si="26"/>
        <v>0</v>
      </c>
      <c r="H134" s="231">
        <f t="shared" si="26"/>
        <v>0</v>
      </c>
      <c r="I134" s="231">
        <f t="shared" si="26"/>
        <v>16400</v>
      </c>
      <c r="J134" s="231">
        <f t="shared" si="26"/>
        <v>0</v>
      </c>
    </row>
    <row r="135" spans="1:10" ht="15" thickBot="1" x14ac:dyDescent="0.25">
      <c r="A135" s="222"/>
      <c r="B135" s="222"/>
      <c r="C135" s="229" t="s">
        <v>389</v>
      </c>
      <c r="D135" s="240"/>
      <c r="E135" s="236">
        <f t="shared" ref="E135:J135" si="27">SUM(E134:E134)</f>
        <v>0</v>
      </c>
      <c r="F135" s="236">
        <f t="shared" si="27"/>
        <v>16400</v>
      </c>
      <c r="G135" s="236">
        <f t="shared" si="27"/>
        <v>0</v>
      </c>
      <c r="H135" s="236">
        <f t="shared" si="27"/>
        <v>0</v>
      </c>
      <c r="I135" s="236">
        <f t="shared" si="27"/>
        <v>16400</v>
      </c>
      <c r="J135" s="236">
        <f t="shared" si="27"/>
        <v>0</v>
      </c>
    </row>
    <row r="136" spans="1:10" x14ac:dyDescent="0.2">
      <c r="A136" s="240"/>
      <c r="B136" s="229"/>
      <c r="C136" s="222"/>
      <c r="D136" s="240"/>
      <c r="E136" s="242"/>
      <c r="F136" s="242"/>
      <c r="G136" s="242"/>
      <c r="H136" s="242"/>
      <c r="I136" s="242"/>
      <c r="J136" s="242"/>
    </row>
    <row r="137" spans="1:10" x14ac:dyDescent="0.2">
      <c r="A137" s="243" t="s">
        <v>296</v>
      </c>
      <c r="B137" s="229"/>
      <c r="C137" s="222"/>
      <c r="D137" s="240"/>
      <c r="E137" s="230"/>
      <c r="F137" s="230"/>
      <c r="G137" s="230"/>
      <c r="H137" s="230"/>
      <c r="I137" s="230"/>
      <c r="J137" s="230"/>
    </row>
    <row r="138" spans="1:10" x14ac:dyDescent="0.2">
      <c r="A138" s="233"/>
      <c r="B138" s="233" t="s">
        <v>96</v>
      </c>
      <c r="C138" s="222"/>
      <c r="D138" s="240"/>
      <c r="E138" s="231">
        <f t="shared" ref="E138:J138" si="28">E81</f>
        <v>167748.03999999998</v>
      </c>
      <c r="F138" s="231">
        <f t="shared" si="28"/>
        <v>179600</v>
      </c>
      <c r="G138" s="231">
        <f t="shared" si="28"/>
        <v>180300</v>
      </c>
      <c r="H138" s="231">
        <f t="shared" si="28"/>
        <v>171800</v>
      </c>
      <c r="I138" s="231">
        <f t="shared" si="28"/>
        <v>171800</v>
      </c>
      <c r="J138" s="231">
        <f t="shared" si="28"/>
        <v>171800</v>
      </c>
    </row>
    <row r="139" spans="1:10" ht="15" thickBot="1" x14ac:dyDescent="0.25">
      <c r="A139" s="222"/>
      <c r="B139" s="222"/>
      <c r="C139" s="222" t="s">
        <v>390</v>
      </c>
      <c r="D139" s="235"/>
      <c r="E139" s="236">
        <f t="shared" ref="E139:J139" si="29">SUM(E138:E138)</f>
        <v>167748.03999999998</v>
      </c>
      <c r="F139" s="236">
        <f t="shared" si="29"/>
        <v>179600</v>
      </c>
      <c r="G139" s="236">
        <f t="shared" si="29"/>
        <v>180300</v>
      </c>
      <c r="H139" s="236">
        <f t="shared" si="29"/>
        <v>171800</v>
      </c>
      <c r="I139" s="236">
        <f t="shared" si="29"/>
        <v>171800</v>
      </c>
      <c r="J139" s="236">
        <f t="shared" si="29"/>
        <v>171800</v>
      </c>
    </row>
    <row r="140" spans="1:10" x14ac:dyDescent="0.2">
      <c r="A140" s="222"/>
      <c r="B140" s="222"/>
      <c r="C140" s="222"/>
      <c r="D140" s="240"/>
      <c r="E140" s="242"/>
      <c r="F140" s="242"/>
      <c r="G140" s="242"/>
      <c r="H140" s="227"/>
      <c r="I140" s="227"/>
      <c r="J140" s="227"/>
    </row>
    <row r="141" spans="1:10" x14ac:dyDescent="0.2">
      <c r="A141" s="244" t="s">
        <v>15</v>
      </c>
      <c r="B141" s="222"/>
      <c r="C141" s="222"/>
      <c r="D141" s="222"/>
      <c r="E141" s="222"/>
      <c r="F141" s="222"/>
      <c r="G141" s="222"/>
      <c r="H141" s="222"/>
      <c r="I141" s="222"/>
      <c r="J141" s="222"/>
    </row>
    <row r="142" spans="1:10" x14ac:dyDescent="0.2">
      <c r="A142" s="233"/>
      <c r="B142" s="233" t="s">
        <v>96</v>
      </c>
      <c r="C142" s="233"/>
      <c r="D142" s="222"/>
      <c r="E142" s="231">
        <f t="shared" ref="E142:J142" si="30">E88</f>
        <v>0</v>
      </c>
      <c r="F142" s="231">
        <f t="shared" si="30"/>
        <v>0</v>
      </c>
      <c r="G142" s="231">
        <f t="shared" si="30"/>
        <v>0</v>
      </c>
      <c r="H142" s="231">
        <f t="shared" si="30"/>
        <v>0</v>
      </c>
      <c r="I142" s="231">
        <f t="shared" si="30"/>
        <v>0</v>
      </c>
      <c r="J142" s="231">
        <f t="shared" si="30"/>
        <v>0</v>
      </c>
    </row>
    <row r="143" spans="1:10" ht="15" thickBot="1" x14ac:dyDescent="0.25">
      <c r="A143" s="243"/>
      <c r="B143" s="243" t="s">
        <v>69</v>
      </c>
      <c r="C143" s="240"/>
      <c r="D143" s="222"/>
      <c r="E143" s="236">
        <f t="shared" ref="E143:J143" si="31">SUM(E142:E142)</f>
        <v>0</v>
      </c>
      <c r="F143" s="236">
        <f t="shared" si="31"/>
        <v>0</v>
      </c>
      <c r="G143" s="236">
        <f t="shared" si="31"/>
        <v>0</v>
      </c>
      <c r="H143" s="236">
        <f t="shared" si="31"/>
        <v>0</v>
      </c>
      <c r="I143" s="236">
        <f t="shared" si="31"/>
        <v>0</v>
      </c>
      <c r="J143" s="236">
        <f t="shared" si="31"/>
        <v>0</v>
      </c>
    </row>
    <row r="144" spans="1:10" x14ac:dyDescent="0.2">
      <c r="A144" s="222"/>
      <c r="B144" s="222"/>
      <c r="C144" s="222"/>
      <c r="D144" s="222"/>
      <c r="E144" s="242"/>
      <c r="F144" s="242"/>
      <c r="G144" s="242"/>
      <c r="H144" s="227"/>
      <c r="I144" s="227"/>
      <c r="J144" s="227"/>
    </row>
    <row r="145" spans="1:10" ht="15" thickBot="1" x14ac:dyDescent="0.25">
      <c r="A145" s="222"/>
      <c r="B145" s="222"/>
      <c r="C145" s="222"/>
      <c r="D145" s="222"/>
      <c r="E145" s="240"/>
      <c r="F145" s="276" t="s">
        <v>391</v>
      </c>
      <c r="G145" s="240"/>
      <c r="H145" s="240"/>
      <c r="I145" s="245"/>
      <c r="J145" s="245"/>
    </row>
    <row r="146" spans="1:10" ht="15" thickTop="1" x14ac:dyDescent="0.2">
      <c r="A146" s="246"/>
      <c r="B146" s="246"/>
      <c r="C146" s="246"/>
      <c r="D146" s="246"/>
      <c r="E146" s="246"/>
      <c r="F146" s="277"/>
      <c r="G146" s="246"/>
      <c r="H146" s="246"/>
      <c r="I146" s="246"/>
      <c r="J146" s="246"/>
    </row>
    <row r="147" spans="1:10" x14ac:dyDescent="0.2">
      <c r="A147" s="247"/>
      <c r="B147" s="247">
        <v>210</v>
      </c>
      <c r="C147" s="222" t="s">
        <v>7</v>
      </c>
      <c r="D147" s="222"/>
      <c r="E147" s="231">
        <f t="shared" ref="E147:J162" si="32">SUMIF($A$43:$A$421,$B147,E$43:E$421)</f>
        <v>364230.19</v>
      </c>
      <c r="F147" s="231">
        <f t="shared" si="32"/>
        <v>366800</v>
      </c>
      <c r="G147" s="231">
        <f t="shared" si="32"/>
        <v>350400</v>
      </c>
      <c r="H147" s="231">
        <f t="shared" si="32"/>
        <v>413600</v>
      </c>
      <c r="I147" s="231">
        <f t="shared" si="32"/>
        <v>479700</v>
      </c>
      <c r="J147" s="231">
        <f t="shared" si="32"/>
        <v>482600</v>
      </c>
    </row>
    <row r="148" spans="1:10" x14ac:dyDescent="0.2">
      <c r="A148" s="247"/>
      <c r="B148" s="247">
        <v>212</v>
      </c>
      <c r="C148" s="222" t="s">
        <v>9</v>
      </c>
      <c r="D148" s="222"/>
      <c r="E148" s="231">
        <f t="shared" si="32"/>
        <v>0</v>
      </c>
      <c r="F148" s="231">
        <f t="shared" si="32"/>
        <v>0</v>
      </c>
      <c r="G148" s="231">
        <f t="shared" si="32"/>
        <v>0</v>
      </c>
      <c r="H148" s="231">
        <f t="shared" si="32"/>
        <v>0</v>
      </c>
      <c r="I148" s="231">
        <f t="shared" si="32"/>
        <v>0</v>
      </c>
      <c r="J148" s="231">
        <f t="shared" si="32"/>
        <v>0</v>
      </c>
    </row>
    <row r="149" spans="1:10" x14ac:dyDescent="0.2">
      <c r="A149" s="247"/>
      <c r="B149" s="247">
        <v>213</v>
      </c>
      <c r="C149" s="222" t="s">
        <v>201</v>
      </c>
      <c r="D149" s="222"/>
      <c r="E149" s="231">
        <f t="shared" si="32"/>
        <v>0</v>
      </c>
      <c r="F149" s="231">
        <f t="shared" si="32"/>
        <v>0</v>
      </c>
      <c r="G149" s="231">
        <f t="shared" si="32"/>
        <v>0</v>
      </c>
      <c r="H149" s="231">
        <f t="shared" si="32"/>
        <v>0</v>
      </c>
      <c r="I149" s="231">
        <f t="shared" si="32"/>
        <v>0</v>
      </c>
      <c r="J149" s="231">
        <f t="shared" si="32"/>
        <v>0</v>
      </c>
    </row>
    <row r="150" spans="1:10" x14ac:dyDescent="0.2">
      <c r="A150" s="247"/>
      <c r="B150" s="247">
        <v>216</v>
      </c>
      <c r="C150" s="222" t="s">
        <v>10</v>
      </c>
      <c r="D150" s="222"/>
      <c r="E150" s="231">
        <f t="shared" si="32"/>
        <v>124498.7</v>
      </c>
      <c r="F150" s="231">
        <f t="shared" si="32"/>
        <v>127500</v>
      </c>
      <c r="G150" s="231">
        <f t="shared" si="32"/>
        <v>95800</v>
      </c>
      <c r="H150" s="231">
        <f t="shared" si="32"/>
        <v>127500</v>
      </c>
      <c r="I150" s="231">
        <f t="shared" si="32"/>
        <v>127500</v>
      </c>
      <c r="J150" s="231">
        <f t="shared" si="32"/>
        <v>127500</v>
      </c>
    </row>
    <row r="151" spans="1:10" x14ac:dyDescent="0.2">
      <c r="A151" s="247"/>
      <c r="B151" s="247">
        <v>218</v>
      </c>
      <c r="C151" s="222" t="s">
        <v>202</v>
      </c>
      <c r="D151" s="222"/>
      <c r="E151" s="231">
        <f t="shared" si="32"/>
        <v>0</v>
      </c>
      <c r="F151" s="231">
        <f t="shared" si="32"/>
        <v>16400</v>
      </c>
      <c r="G151" s="231">
        <f t="shared" si="32"/>
        <v>0</v>
      </c>
      <c r="H151" s="231">
        <f t="shared" si="32"/>
        <v>0</v>
      </c>
      <c r="I151" s="231">
        <f t="shared" si="32"/>
        <v>16400</v>
      </c>
      <c r="J151" s="231">
        <f t="shared" si="32"/>
        <v>0</v>
      </c>
    </row>
    <row r="152" spans="1:10" x14ac:dyDescent="0.2">
      <c r="A152" s="247"/>
      <c r="B152" s="247">
        <v>219</v>
      </c>
      <c r="C152" s="222" t="s">
        <v>203</v>
      </c>
      <c r="D152" s="222"/>
      <c r="E152" s="231">
        <f t="shared" si="32"/>
        <v>0</v>
      </c>
      <c r="F152" s="231">
        <f t="shared" si="32"/>
        <v>0</v>
      </c>
      <c r="G152" s="231">
        <f t="shared" si="32"/>
        <v>0</v>
      </c>
      <c r="H152" s="231">
        <f t="shared" si="32"/>
        <v>0</v>
      </c>
      <c r="I152" s="231">
        <f t="shared" si="32"/>
        <v>0</v>
      </c>
      <c r="J152" s="231">
        <f t="shared" si="32"/>
        <v>0</v>
      </c>
    </row>
    <row r="153" spans="1:10" x14ac:dyDescent="0.2">
      <c r="A153" s="247"/>
      <c r="B153" s="247">
        <v>220</v>
      </c>
      <c r="C153" s="222" t="s">
        <v>204</v>
      </c>
      <c r="D153" s="222"/>
      <c r="E153" s="231">
        <f t="shared" si="32"/>
        <v>0</v>
      </c>
      <c r="F153" s="231">
        <f t="shared" si="32"/>
        <v>0</v>
      </c>
      <c r="G153" s="231">
        <f t="shared" si="32"/>
        <v>0</v>
      </c>
      <c r="H153" s="231">
        <f t="shared" si="32"/>
        <v>0</v>
      </c>
      <c r="I153" s="231">
        <f t="shared" si="32"/>
        <v>0</v>
      </c>
      <c r="J153" s="231">
        <f t="shared" si="32"/>
        <v>0</v>
      </c>
    </row>
    <row r="154" spans="1:10" x14ac:dyDescent="0.2">
      <c r="A154" s="247"/>
      <c r="B154" s="247">
        <v>222</v>
      </c>
      <c r="C154" s="222" t="s">
        <v>205</v>
      </c>
      <c r="D154" s="222"/>
      <c r="E154" s="231">
        <f t="shared" si="32"/>
        <v>0</v>
      </c>
      <c r="F154" s="231">
        <f t="shared" si="32"/>
        <v>0</v>
      </c>
      <c r="G154" s="231">
        <f t="shared" si="32"/>
        <v>0</v>
      </c>
      <c r="H154" s="231">
        <f t="shared" si="32"/>
        <v>0</v>
      </c>
      <c r="I154" s="231">
        <f t="shared" si="32"/>
        <v>0</v>
      </c>
      <c r="J154" s="231">
        <f t="shared" si="32"/>
        <v>0</v>
      </c>
    </row>
    <row r="155" spans="1:10" x14ac:dyDescent="0.2">
      <c r="A155" s="247"/>
      <c r="B155" s="247">
        <v>224</v>
      </c>
      <c r="C155" s="222" t="s">
        <v>206</v>
      </c>
      <c r="D155" s="222"/>
      <c r="E155" s="231">
        <f t="shared" si="32"/>
        <v>0</v>
      </c>
      <c r="F155" s="231">
        <f t="shared" si="32"/>
        <v>0</v>
      </c>
      <c r="G155" s="231">
        <f t="shared" si="32"/>
        <v>0</v>
      </c>
      <c r="H155" s="231">
        <f t="shared" si="32"/>
        <v>0</v>
      </c>
      <c r="I155" s="231">
        <f t="shared" si="32"/>
        <v>0</v>
      </c>
      <c r="J155" s="231">
        <f t="shared" si="32"/>
        <v>0</v>
      </c>
    </row>
    <row r="156" spans="1:10" x14ac:dyDescent="0.2">
      <c r="A156" s="247"/>
      <c r="B156" s="247">
        <v>226</v>
      </c>
      <c r="C156" s="222" t="s">
        <v>207</v>
      </c>
      <c r="D156" s="222"/>
      <c r="E156" s="231">
        <f t="shared" si="32"/>
        <v>10732.07</v>
      </c>
      <c r="F156" s="231">
        <f t="shared" si="32"/>
        <v>9600</v>
      </c>
      <c r="G156" s="231">
        <f t="shared" si="32"/>
        <v>9600</v>
      </c>
      <c r="H156" s="231">
        <f t="shared" si="32"/>
        <v>9600</v>
      </c>
      <c r="I156" s="231">
        <f t="shared" si="32"/>
        <v>9600</v>
      </c>
      <c r="J156" s="231">
        <f t="shared" si="32"/>
        <v>9600</v>
      </c>
    </row>
    <row r="157" spans="1:10" x14ac:dyDescent="0.2">
      <c r="A157" s="247"/>
      <c r="B157" s="247">
        <v>228</v>
      </c>
      <c r="C157" s="222" t="s">
        <v>208</v>
      </c>
      <c r="D157" s="222"/>
      <c r="E157" s="231">
        <f t="shared" si="32"/>
        <v>20983.14</v>
      </c>
      <c r="F157" s="231">
        <f t="shared" si="32"/>
        <v>13500</v>
      </c>
      <c r="G157" s="231">
        <f t="shared" si="32"/>
        <v>12900</v>
      </c>
      <c r="H157" s="231">
        <f t="shared" si="32"/>
        <v>13500</v>
      </c>
      <c r="I157" s="231">
        <f t="shared" si="32"/>
        <v>13500</v>
      </c>
      <c r="J157" s="231">
        <f t="shared" si="32"/>
        <v>13500</v>
      </c>
    </row>
    <row r="158" spans="1:10" x14ac:dyDescent="0.2">
      <c r="A158" s="247"/>
      <c r="B158" s="247">
        <v>229</v>
      </c>
      <c r="C158" s="222" t="s">
        <v>209</v>
      </c>
      <c r="D158" s="222"/>
      <c r="E158" s="231">
        <f t="shared" si="32"/>
        <v>0</v>
      </c>
      <c r="F158" s="231">
        <f t="shared" si="32"/>
        <v>0</v>
      </c>
      <c r="G158" s="231">
        <f t="shared" si="32"/>
        <v>0</v>
      </c>
      <c r="H158" s="231">
        <f t="shared" si="32"/>
        <v>0</v>
      </c>
      <c r="I158" s="231">
        <f t="shared" si="32"/>
        <v>0</v>
      </c>
      <c r="J158" s="231">
        <f t="shared" si="32"/>
        <v>0</v>
      </c>
    </row>
    <row r="159" spans="1:10" x14ac:dyDescent="0.2">
      <c r="A159" s="247"/>
      <c r="B159" s="247">
        <v>230</v>
      </c>
      <c r="C159" s="222" t="s">
        <v>210</v>
      </c>
      <c r="D159" s="222"/>
      <c r="E159" s="231">
        <f t="shared" si="32"/>
        <v>3500</v>
      </c>
      <c r="F159" s="231">
        <f t="shared" si="32"/>
        <v>3500</v>
      </c>
      <c r="G159" s="231">
        <f t="shared" si="32"/>
        <v>3500</v>
      </c>
      <c r="H159" s="231">
        <f t="shared" si="32"/>
        <v>3500</v>
      </c>
      <c r="I159" s="231">
        <f t="shared" si="32"/>
        <v>3500</v>
      </c>
      <c r="J159" s="231">
        <f t="shared" si="32"/>
        <v>3500</v>
      </c>
    </row>
    <row r="160" spans="1:10" x14ac:dyDescent="0.2">
      <c r="A160" s="247"/>
      <c r="B160" s="247">
        <v>232</v>
      </c>
      <c r="C160" s="222" t="s">
        <v>211</v>
      </c>
      <c r="D160" s="222"/>
      <c r="E160" s="231">
        <f t="shared" si="32"/>
        <v>10145.92</v>
      </c>
      <c r="F160" s="231">
        <f t="shared" si="32"/>
        <v>7500</v>
      </c>
      <c r="G160" s="231">
        <f t="shared" si="32"/>
        <v>5700</v>
      </c>
      <c r="H160" s="231">
        <f t="shared" si="32"/>
        <v>7500</v>
      </c>
      <c r="I160" s="231">
        <f t="shared" si="32"/>
        <v>7500</v>
      </c>
      <c r="J160" s="231">
        <f t="shared" si="32"/>
        <v>7500</v>
      </c>
    </row>
    <row r="161" spans="1:10" x14ac:dyDescent="0.2">
      <c r="A161" s="247"/>
      <c r="B161" s="247">
        <v>234</v>
      </c>
      <c r="C161" s="222" t="s">
        <v>212</v>
      </c>
      <c r="D161" s="222"/>
      <c r="E161" s="231">
        <f t="shared" si="32"/>
        <v>8028</v>
      </c>
      <c r="F161" s="231">
        <f t="shared" si="32"/>
        <v>5700</v>
      </c>
      <c r="G161" s="231">
        <f t="shared" si="32"/>
        <v>12400</v>
      </c>
      <c r="H161" s="231">
        <f t="shared" si="32"/>
        <v>7700</v>
      </c>
      <c r="I161" s="231">
        <f t="shared" si="32"/>
        <v>7700</v>
      </c>
      <c r="J161" s="231">
        <f t="shared" si="32"/>
        <v>7700</v>
      </c>
    </row>
    <row r="162" spans="1:10" x14ac:dyDescent="0.2">
      <c r="A162" s="247"/>
      <c r="B162" s="247">
        <v>236</v>
      </c>
      <c r="C162" s="222" t="s">
        <v>213</v>
      </c>
      <c r="D162" s="222"/>
      <c r="E162" s="231">
        <f t="shared" si="32"/>
        <v>80397.539999999994</v>
      </c>
      <c r="F162" s="231">
        <f t="shared" si="32"/>
        <v>117800</v>
      </c>
      <c r="G162" s="231">
        <f t="shared" si="32"/>
        <v>116000</v>
      </c>
      <c r="H162" s="231">
        <f t="shared" si="32"/>
        <v>110000</v>
      </c>
      <c r="I162" s="231">
        <f t="shared" si="32"/>
        <v>110000</v>
      </c>
      <c r="J162" s="231">
        <f t="shared" si="32"/>
        <v>110000</v>
      </c>
    </row>
    <row r="163" spans="1:10" x14ac:dyDescent="0.2">
      <c r="A163" s="247"/>
      <c r="B163" s="247">
        <v>238</v>
      </c>
      <c r="C163" s="222" t="s">
        <v>214</v>
      </c>
      <c r="D163" s="222"/>
      <c r="E163" s="231">
        <f t="shared" ref="E163:J178" si="33">SUMIF($A$43:$A$421,$B163,E$43:E$421)</f>
        <v>0</v>
      </c>
      <c r="F163" s="231">
        <f t="shared" si="33"/>
        <v>0</v>
      </c>
      <c r="G163" s="231">
        <f t="shared" si="33"/>
        <v>0</v>
      </c>
      <c r="H163" s="231">
        <f t="shared" si="33"/>
        <v>0</v>
      </c>
      <c r="I163" s="231">
        <f t="shared" si="33"/>
        <v>0</v>
      </c>
      <c r="J163" s="231">
        <f t="shared" si="33"/>
        <v>0</v>
      </c>
    </row>
    <row r="164" spans="1:10" x14ac:dyDescent="0.2">
      <c r="A164" s="247"/>
      <c r="B164" s="247">
        <v>240</v>
      </c>
      <c r="C164" s="222" t="s">
        <v>215</v>
      </c>
      <c r="D164" s="222"/>
      <c r="E164" s="231">
        <f t="shared" si="33"/>
        <v>4500</v>
      </c>
      <c r="F164" s="231">
        <f t="shared" si="33"/>
        <v>5000</v>
      </c>
      <c r="G164" s="231">
        <f t="shared" si="33"/>
        <v>4900</v>
      </c>
      <c r="H164" s="231">
        <f t="shared" si="33"/>
        <v>5000</v>
      </c>
      <c r="I164" s="231">
        <f t="shared" si="33"/>
        <v>5000</v>
      </c>
      <c r="J164" s="231">
        <f t="shared" si="33"/>
        <v>5000</v>
      </c>
    </row>
    <row r="165" spans="1:10" x14ac:dyDescent="0.2">
      <c r="A165" s="247"/>
      <c r="B165" s="247">
        <v>242</v>
      </c>
      <c r="C165" s="222" t="s">
        <v>216</v>
      </c>
      <c r="D165" s="222"/>
      <c r="E165" s="231">
        <f t="shared" si="33"/>
        <v>0</v>
      </c>
      <c r="F165" s="231">
        <f t="shared" si="33"/>
        <v>0</v>
      </c>
      <c r="G165" s="231">
        <f t="shared" si="33"/>
        <v>0</v>
      </c>
      <c r="H165" s="231">
        <f t="shared" si="33"/>
        <v>0</v>
      </c>
      <c r="I165" s="231">
        <f t="shared" si="33"/>
        <v>0</v>
      </c>
      <c r="J165" s="231">
        <f t="shared" si="33"/>
        <v>0</v>
      </c>
    </row>
    <row r="166" spans="1:10" x14ac:dyDescent="0.2">
      <c r="A166" s="247"/>
      <c r="B166" s="247">
        <v>244</v>
      </c>
      <c r="C166" s="222" t="s">
        <v>217</v>
      </c>
      <c r="D166" s="222"/>
      <c r="E166" s="231">
        <f t="shared" si="33"/>
        <v>0</v>
      </c>
      <c r="F166" s="231">
        <f t="shared" si="33"/>
        <v>0</v>
      </c>
      <c r="G166" s="231">
        <f t="shared" si="33"/>
        <v>0</v>
      </c>
      <c r="H166" s="231">
        <f t="shared" si="33"/>
        <v>0</v>
      </c>
      <c r="I166" s="231">
        <f t="shared" si="33"/>
        <v>0</v>
      </c>
      <c r="J166" s="231">
        <f t="shared" si="33"/>
        <v>0</v>
      </c>
    </row>
    <row r="167" spans="1:10" x14ac:dyDescent="0.2">
      <c r="A167" s="247"/>
      <c r="B167" s="247">
        <v>246</v>
      </c>
      <c r="C167" s="222" t="s">
        <v>218</v>
      </c>
      <c r="D167" s="222"/>
      <c r="E167" s="231">
        <f t="shared" si="33"/>
        <v>8044.3</v>
      </c>
      <c r="F167" s="231">
        <f t="shared" si="33"/>
        <v>7000</v>
      </c>
      <c r="G167" s="231">
        <f t="shared" si="33"/>
        <v>9200</v>
      </c>
      <c r="H167" s="231">
        <f t="shared" si="33"/>
        <v>7000</v>
      </c>
      <c r="I167" s="231">
        <f t="shared" si="33"/>
        <v>7000</v>
      </c>
      <c r="J167" s="231">
        <f t="shared" si="33"/>
        <v>7000</v>
      </c>
    </row>
    <row r="168" spans="1:10" x14ac:dyDescent="0.2">
      <c r="A168" s="247"/>
      <c r="B168" s="247">
        <v>247</v>
      </c>
      <c r="C168" s="222" t="s">
        <v>219</v>
      </c>
      <c r="D168" s="222"/>
      <c r="E168" s="231">
        <f t="shared" si="33"/>
        <v>0</v>
      </c>
      <c r="F168" s="231">
        <f t="shared" si="33"/>
        <v>0</v>
      </c>
      <c r="G168" s="231">
        <f t="shared" si="33"/>
        <v>0</v>
      </c>
      <c r="H168" s="231">
        <f t="shared" si="33"/>
        <v>0</v>
      </c>
      <c r="I168" s="231">
        <f t="shared" si="33"/>
        <v>0</v>
      </c>
      <c r="J168" s="231">
        <f t="shared" si="33"/>
        <v>0</v>
      </c>
    </row>
    <row r="169" spans="1:10" x14ac:dyDescent="0.2">
      <c r="A169" s="247"/>
      <c r="B169" s="247">
        <v>260</v>
      </c>
      <c r="C169" s="222" t="s">
        <v>220</v>
      </c>
      <c r="D169" s="222"/>
      <c r="E169" s="231">
        <f t="shared" si="33"/>
        <v>14000</v>
      </c>
      <c r="F169" s="231">
        <f t="shared" si="33"/>
        <v>0</v>
      </c>
      <c r="G169" s="231">
        <f t="shared" si="33"/>
        <v>0</v>
      </c>
      <c r="H169" s="231">
        <f t="shared" si="33"/>
        <v>0</v>
      </c>
      <c r="I169" s="231">
        <f t="shared" si="33"/>
        <v>0</v>
      </c>
      <c r="J169" s="231">
        <f t="shared" si="33"/>
        <v>0</v>
      </c>
    </row>
    <row r="170" spans="1:10" x14ac:dyDescent="0.2">
      <c r="A170" s="247"/>
      <c r="B170" s="247">
        <v>261</v>
      </c>
      <c r="C170" s="222" t="s">
        <v>221</v>
      </c>
      <c r="D170" s="222"/>
      <c r="E170" s="231">
        <f t="shared" si="33"/>
        <v>0</v>
      </c>
      <c r="F170" s="231">
        <f t="shared" si="33"/>
        <v>0</v>
      </c>
      <c r="G170" s="231">
        <f t="shared" si="33"/>
        <v>0</v>
      </c>
      <c r="H170" s="231">
        <f t="shared" si="33"/>
        <v>0</v>
      </c>
      <c r="I170" s="231">
        <f t="shared" si="33"/>
        <v>0</v>
      </c>
      <c r="J170" s="231">
        <f t="shared" si="33"/>
        <v>0</v>
      </c>
    </row>
    <row r="171" spans="1:10" x14ac:dyDescent="0.2">
      <c r="A171" s="247"/>
      <c r="B171" s="247">
        <v>265</v>
      </c>
      <c r="C171" s="222" t="s">
        <v>222</v>
      </c>
      <c r="D171" s="222"/>
      <c r="E171" s="231">
        <f t="shared" si="33"/>
        <v>0</v>
      </c>
      <c r="F171" s="231">
        <f t="shared" si="33"/>
        <v>0</v>
      </c>
      <c r="G171" s="231">
        <f t="shared" si="33"/>
        <v>0</v>
      </c>
      <c r="H171" s="231">
        <f t="shared" si="33"/>
        <v>0</v>
      </c>
      <c r="I171" s="231">
        <f t="shared" si="33"/>
        <v>0</v>
      </c>
      <c r="J171" s="231">
        <f t="shared" si="33"/>
        <v>0</v>
      </c>
    </row>
    <row r="172" spans="1:10" x14ac:dyDescent="0.2">
      <c r="A172" s="247"/>
      <c r="B172" s="247">
        <v>266</v>
      </c>
      <c r="C172" s="222" t="s">
        <v>223</v>
      </c>
      <c r="D172" s="222"/>
      <c r="E172" s="231">
        <f t="shared" si="33"/>
        <v>0</v>
      </c>
      <c r="F172" s="231">
        <f t="shared" si="33"/>
        <v>0</v>
      </c>
      <c r="G172" s="231">
        <f t="shared" si="33"/>
        <v>0</v>
      </c>
      <c r="H172" s="231">
        <f t="shared" si="33"/>
        <v>0</v>
      </c>
      <c r="I172" s="231">
        <f t="shared" si="33"/>
        <v>0</v>
      </c>
      <c r="J172" s="231">
        <f t="shared" si="33"/>
        <v>0</v>
      </c>
    </row>
    <row r="173" spans="1:10" x14ac:dyDescent="0.2">
      <c r="A173" s="247"/>
      <c r="B173" s="247">
        <v>270</v>
      </c>
      <c r="C173" s="222" t="s">
        <v>224</v>
      </c>
      <c r="D173" s="222"/>
      <c r="E173" s="231">
        <f t="shared" si="33"/>
        <v>0</v>
      </c>
      <c r="F173" s="231">
        <f t="shared" si="33"/>
        <v>0</v>
      </c>
      <c r="G173" s="231">
        <f t="shared" si="33"/>
        <v>0</v>
      </c>
      <c r="H173" s="231">
        <f t="shared" si="33"/>
        <v>0</v>
      </c>
      <c r="I173" s="231">
        <f t="shared" si="33"/>
        <v>0</v>
      </c>
      <c r="J173" s="231">
        <f t="shared" si="33"/>
        <v>0</v>
      </c>
    </row>
    <row r="174" spans="1:10" x14ac:dyDescent="0.2">
      <c r="A174" s="247"/>
      <c r="B174" s="247">
        <v>272</v>
      </c>
      <c r="C174" s="222" t="s">
        <v>225</v>
      </c>
      <c r="D174" s="222"/>
      <c r="E174" s="231">
        <f t="shared" si="33"/>
        <v>0</v>
      </c>
      <c r="F174" s="231">
        <f t="shared" si="33"/>
        <v>0</v>
      </c>
      <c r="G174" s="231">
        <f t="shared" si="33"/>
        <v>0</v>
      </c>
      <c r="H174" s="231">
        <f t="shared" si="33"/>
        <v>0</v>
      </c>
      <c r="I174" s="231">
        <f t="shared" si="33"/>
        <v>0</v>
      </c>
      <c r="J174" s="231">
        <f t="shared" si="33"/>
        <v>0</v>
      </c>
    </row>
    <row r="175" spans="1:10" ht="15" customHeight="1" x14ac:dyDescent="0.2">
      <c r="A175" s="247"/>
      <c r="B175" s="247">
        <v>273</v>
      </c>
      <c r="C175" s="222" t="s">
        <v>226</v>
      </c>
      <c r="D175" s="222"/>
      <c r="E175" s="231">
        <f t="shared" si="33"/>
        <v>0</v>
      </c>
      <c r="F175" s="231">
        <f t="shared" si="33"/>
        <v>0</v>
      </c>
      <c r="G175" s="231">
        <f t="shared" si="33"/>
        <v>0</v>
      </c>
      <c r="H175" s="231">
        <f t="shared" si="33"/>
        <v>0</v>
      </c>
      <c r="I175" s="231">
        <f t="shared" si="33"/>
        <v>0</v>
      </c>
      <c r="J175" s="231">
        <f t="shared" si="33"/>
        <v>0</v>
      </c>
    </row>
    <row r="176" spans="1:10" x14ac:dyDescent="0.2">
      <c r="A176" s="247"/>
      <c r="B176" s="247">
        <v>274</v>
      </c>
      <c r="C176" s="222" t="s">
        <v>227</v>
      </c>
      <c r="D176" s="222"/>
      <c r="E176" s="231">
        <f t="shared" si="33"/>
        <v>0</v>
      </c>
      <c r="F176" s="231">
        <f t="shared" si="33"/>
        <v>0</v>
      </c>
      <c r="G176" s="231">
        <f t="shared" si="33"/>
        <v>0</v>
      </c>
      <c r="H176" s="231">
        <f t="shared" si="33"/>
        <v>0</v>
      </c>
      <c r="I176" s="231">
        <f t="shared" si="33"/>
        <v>0</v>
      </c>
      <c r="J176" s="231">
        <f t="shared" si="33"/>
        <v>0</v>
      </c>
    </row>
    <row r="177" spans="1:10" x14ac:dyDescent="0.2">
      <c r="A177" s="247"/>
      <c r="B177" s="247">
        <v>275</v>
      </c>
      <c r="C177" s="222" t="s">
        <v>228</v>
      </c>
      <c r="D177" s="222"/>
      <c r="E177" s="231">
        <f t="shared" si="33"/>
        <v>7417.07</v>
      </c>
      <c r="F177" s="231">
        <f t="shared" si="33"/>
        <v>10000</v>
      </c>
      <c r="G177" s="231">
        <f t="shared" si="33"/>
        <v>6100</v>
      </c>
      <c r="H177" s="231">
        <f t="shared" si="33"/>
        <v>8000</v>
      </c>
      <c r="I177" s="231">
        <f t="shared" si="33"/>
        <v>8000</v>
      </c>
      <c r="J177" s="231">
        <f t="shared" si="33"/>
        <v>8000</v>
      </c>
    </row>
    <row r="178" spans="1:10" x14ac:dyDescent="0.2">
      <c r="A178" s="247"/>
      <c r="B178" s="247">
        <v>276</v>
      </c>
      <c r="C178" s="222" t="s">
        <v>229</v>
      </c>
      <c r="D178" s="222"/>
      <c r="E178" s="231">
        <f t="shared" si="33"/>
        <v>0</v>
      </c>
      <c r="F178" s="231">
        <f t="shared" si="33"/>
        <v>0</v>
      </c>
      <c r="G178" s="231">
        <f t="shared" si="33"/>
        <v>0</v>
      </c>
      <c r="H178" s="231">
        <f t="shared" si="33"/>
        <v>0</v>
      </c>
      <c r="I178" s="231">
        <f t="shared" si="33"/>
        <v>0</v>
      </c>
      <c r="J178" s="231">
        <f t="shared" si="33"/>
        <v>0</v>
      </c>
    </row>
    <row r="179" spans="1:10" x14ac:dyDescent="0.2">
      <c r="A179" s="247"/>
      <c r="B179" s="247">
        <v>277</v>
      </c>
      <c r="C179" s="222" t="s">
        <v>230</v>
      </c>
      <c r="D179" s="222"/>
      <c r="E179" s="231">
        <f t="shared" ref="E179:J190" si="34">SUMIF($A$43:$A$421,$B179,E$43:E$421)</f>
        <v>0</v>
      </c>
      <c r="F179" s="231">
        <f t="shared" si="34"/>
        <v>0</v>
      </c>
      <c r="G179" s="231">
        <f t="shared" si="34"/>
        <v>0</v>
      </c>
      <c r="H179" s="231">
        <f t="shared" si="34"/>
        <v>0</v>
      </c>
      <c r="I179" s="231">
        <f t="shared" si="34"/>
        <v>0</v>
      </c>
      <c r="J179" s="231">
        <f t="shared" si="34"/>
        <v>0</v>
      </c>
    </row>
    <row r="180" spans="1:10" x14ac:dyDescent="0.2">
      <c r="A180" s="247"/>
      <c r="B180" s="247">
        <v>278</v>
      </c>
      <c r="C180" s="222" t="s">
        <v>231</v>
      </c>
      <c r="D180" s="222"/>
      <c r="E180" s="231">
        <f t="shared" si="34"/>
        <v>0</v>
      </c>
      <c r="F180" s="231">
        <f t="shared" si="34"/>
        <v>0</v>
      </c>
      <c r="G180" s="231">
        <f t="shared" si="34"/>
        <v>0</v>
      </c>
      <c r="H180" s="231">
        <f t="shared" si="34"/>
        <v>0</v>
      </c>
      <c r="I180" s="231">
        <f t="shared" si="34"/>
        <v>0</v>
      </c>
      <c r="J180" s="231">
        <f t="shared" si="34"/>
        <v>0</v>
      </c>
    </row>
    <row r="181" spans="1:10" x14ac:dyDescent="0.2">
      <c r="A181" s="247"/>
      <c r="B181" s="247">
        <v>279</v>
      </c>
      <c r="C181" s="222" t="s">
        <v>232</v>
      </c>
      <c r="D181" s="222"/>
      <c r="E181" s="231">
        <f t="shared" si="34"/>
        <v>0</v>
      </c>
      <c r="F181" s="231">
        <f t="shared" si="34"/>
        <v>0</v>
      </c>
      <c r="G181" s="231">
        <f t="shared" si="34"/>
        <v>0</v>
      </c>
      <c r="H181" s="231">
        <f t="shared" si="34"/>
        <v>0</v>
      </c>
      <c r="I181" s="231">
        <f t="shared" si="34"/>
        <v>0</v>
      </c>
      <c r="J181" s="231">
        <f t="shared" si="34"/>
        <v>0</v>
      </c>
    </row>
    <row r="182" spans="1:10" x14ac:dyDescent="0.2">
      <c r="A182" s="247"/>
      <c r="B182" s="247">
        <v>280</v>
      </c>
      <c r="C182" s="222" t="s">
        <v>233</v>
      </c>
      <c r="D182" s="222"/>
      <c r="E182" s="231">
        <f t="shared" si="34"/>
        <v>0</v>
      </c>
      <c r="F182" s="231">
        <f t="shared" si="34"/>
        <v>0</v>
      </c>
      <c r="G182" s="231">
        <f t="shared" si="34"/>
        <v>0</v>
      </c>
      <c r="H182" s="231">
        <f t="shared" si="34"/>
        <v>0</v>
      </c>
      <c r="I182" s="231">
        <f t="shared" si="34"/>
        <v>0</v>
      </c>
      <c r="J182" s="231">
        <f t="shared" si="34"/>
        <v>0</v>
      </c>
    </row>
    <row r="183" spans="1:10" x14ac:dyDescent="0.2">
      <c r="A183" s="247"/>
      <c r="B183" s="247">
        <v>281</v>
      </c>
      <c r="C183" s="222" t="s">
        <v>234</v>
      </c>
      <c r="D183" s="222"/>
      <c r="E183" s="231">
        <f t="shared" si="34"/>
        <v>0</v>
      </c>
      <c r="F183" s="231">
        <f t="shared" si="34"/>
        <v>0</v>
      </c>
      <c r="G183" s="231">
        <f t="shared" si="34"/>
        <v>0</v>
      </c>
      <c r="H183" s="231">
        <f t="shared" si="34"/>
        <v>0</v>
      </c>
      <c r="I183" s="231">
        <f t="shared" si="34"/>
        <v>0</v>
      </c>
      <c r="J183" s="231">
        <f t="shared" si="34"/>
        <v>0</v>
      </c>
    </row>
    <row r="184" spans="1:10" x14ac:dyDescent="0.2">
      <c r="A184" s="247"/>
      <c r="B184" s="247">
        <v>282</v>
      </c>
      <c r="C184" s="222" t="s">
        <v>235</v>
      </c>
      <c r="D184" s="222"/>
      <c r="E184" s="231">
        <f t="shared" si="34"/>
        <v>0</v>
      </c>
      <c r="F184" s="231">
        <f t="shared" si="34"/>
        <v>0</v>
      </c>
      <c r="G184" s="231">
        <f t="shared" si="34"/>
        <v>0</v>
      </c>
      <c r="H184" s="231">
        <f t="shared" si="34"/>
        <v>0</v>
      </c>
      <c r="I184" s="231">
        <f t="shared" si="34"/>
        <v>0</v>
      </c>
      <c r="J184" s="231">
        <f t="shared" si="34"/>
        <v>0</v>
      </c>
    </row>
    <row r="185" spans="1:10" x14ac:dyDescent="0.2">
      <c r="A185" s="247"/>
      <c r="B185" s="247">
        <v>283</v>
      </c>
      <c r="C185" s="222" t="s">
        <v>236</v>
      </c>
      <c r="D185" s="222"/>
      <c r="E185" s="231">
        <f t="shared" si="34"/>
        <v>0</v>
      </c>
      <c r="F185" s="231">
        <f t="shared" si="34"/>
        <v>0</v>
      </c>
      <c r="G185" s="231">
        <f t="shared" si="34"/>
        <v>0</v>
      </c>
      <c r="H185" s="231">
        <f t="shared" si="34"/>
        <v>0</v>
      </c>
      <c r="I185" s="231">
        <f t="shared" si="34"/>
        <v>0</v>
      </c>
      <c r="J185" s="231">
        <f t="shared" si="34"/>
        <v>0</v>
      </c>
    </row>
    <row r="186" spans="1:10" x14ac:dyDescent="0.2">
      <c r="A186" s="247"/>
      <c r="B186" s="247">
        <v>290</v>
      </c>
      <c r="C186" s="222" t="s">
        <v>238</v>
      </c>
      <c r="D186" s="222"/>
      <c r="E186" s="231">
        <f t="shared" si="34"/>
        <v>0</v>
      </c>
      <c r="F186" s="231">
        <f t="shared" si="34"/>
        <v>0</v>
      </c>
      <c r="G186" s="231">
        <f t="shared" si="34"/>
        <v>0</v>
      </c>
      <c r="H186" s="231">
        <f t="shared" si="34"/>
        <v>0</v>
      </c>
      <c r="I186" s="231">
        <f t="shared" si="34"/>
        <v>0</v>
      </c>
      <c r="J186" s="231">
        <f t="shared" si="34"/>
        <v>0</v>
      </c>
    </row>
    <row r="187" spans="1:10" x14ac:dyDescent="0.2">
      <c r="A187" s="247"/>
      <c r="B187" s="247">
        <v>292</v>
      </c>
      <c r="C187" s="222" t="s">
        <v>239</v>
      </c>
      <c r="D187" s="222"/>
      <c r="E187" s="231">
        <f t="shared" si="34"/>
        <v>0</v>
      </c>
      <c r="F187" s="231">
        <f t="shared" si="34"/>
        <v>0</v>
      </c>
      <c r="G187" s="231">
        <f t="shared" si="34"/>
        <v>0</v>
      </c>
      <c r="H187" s="231">
        <f t="shared" si="34"/>
        <v>0</v>
      </c>
      <c r="I187" s="231">
        <f t="shared" si="34"/>
        <v>0</v>
      </c>
      <c r="J187" s="231">
        <f t="shared" si="34"/>
        <v>0</v>
      </c>
    </row>
    <row r="188" spans="1:10" x14ac:dyDescent="0.2">
      <c r="A188" s="247"/>
      <c r="B188" s="247">
        <v>293</v>
      </c>
      <c r="C188" s="222" t="s">
        <v>240</v>
      </c>
      <c r="D188" s="222"/>
      <c r="E188" s="231">
        <f t="shared" si="34"/>
        <v>0</v>
      </c>
      <c r="F188" s="231">
        <f t="shared" si="34"/>
        <v>0</v>
      </c>
      <c r="G188" s="231">
        <f t="shared" si="34"/>
        <v>0</v>
      </c>
      <c r="H188" s="231">
        <f t="shared" si="34"/>
        <v>0</v>
      </c>
      <c r="I188" s="231">
        <f t="shared" si="34"/>
        <v>0</v>
      </c>
      <c r="J188" s="231">
        <f t="shared" si="34"/>
        <v>0</v>
      </c>
    </row>
    <row r="189" spans="1:10" ht="15" thickBot="1" x14ac:dyDescent="0.25">
      <c r="A189" s="222"/>
      <c r="B189" s="247"/>
      <c r="C189" s="229" t="s">
        <v>489</v>
      </c>
      <c r="D189" s="240"/>
      <c r="E189" s="301">
        <f t="shared" ref="E189:J189" si="35">SUM(E147:E188)</f>
        <v>656476.93000000005</v>
      </c>
      <c r="F189" s="301">
        <f t="shared" si="35"/>
        <v>690300</v>
      </c>
      <c r="G189" s="301">
        <f t="shared" si="35"/>
        <v>626500</v>
      </c>
      <c r="H189" s="301">
        <f t="shared" si="35"/>
        <v>712900</v>
      </c>
      <c r="I189" s="301">
        <f t="shared" si="35"/>
        <v>795400</v>
      </c>
      <c r="J189" s="301">
        <f t="shared" si="35"/>
        <v>781900</v>
      </c>
    </row>
    <row r="190" spans="1:10" ht="15" thickTop="1" x14ac:dyDescent="0.2"/>
  </sheetData>
  <mergeCells count="123">
    <mergeCell ref="A112:E112"/>
    <mergeCell ref="A113:E113"/>
    <mergeCell ref="A114:J114"/>
    <mergeCell ref="A115:E115"/>
    <mergeCell ref="A116:E116"/>
    <mergeCell ref="A117:J117"/>
    <mergeCell ref="A106:J106"/>
    <mergeCell ref="A107:J107"/>
    <mergeCell ref="A108:E108"/>
    <mergeCell ref="A109:J109"/>
    <mergeCell ref="A110:E110"/>
    <mergeCell ref="A111:E111"/>
    <mergeCell ref="A100:J100"/>
    <mergeCell ref="A101:J101"/>
    <mergeCell ref="A102:J102"/>
    <mergeCell ref="A103:J103"/>
    <mergeCell ref="A104:J104"/>
    <mergeCell ref="A105:J105"/>
    <mergeCell ref="A95:C95"/>
    <mergeCell ref="F95:H95"/>
    <mergeCell ref="A96:I96"/>
    <mergeCell ref="A97:J97"/>
    <mergeCell ref="A98:J98"/>
    <mergeCell ref="A99:J99"/>
    <mergeCell ref="A92:C92"/>
    <mergeCell ref="F92:H92"/>
    <mergeCell ref="A93:C93"/>
    <mergeCell ref="F93:H93"/>
    <mergeCell ref="A94:C94"/>
    <mergeCell ref="F94:H94"/>
    <mergeCell ref="C87:D87"/>
    <mergeCell ref="A88:D88"/>
    <mergeCell ref="A89:J89"/>
    <mergeCell ref="A90:J90"/>
    <mergeCell ref="A91:C91"/>
    <mergeCell ref="F91:H91"/>
    <mergeCell ref="A84:J84"/>
    <mergeCell ref="A85:D85"/>
    <mergeCell ref="E85:E86"/>
    <mergeCell ref="F85:F86"/>
    <mergeCell ref="G85:G86"/>
    <mergeCell ref="H85:H86"/>
    <mergeCell ref="I85:I86"/>
    <mergeCell ref="J85:J86"/>
    <mergeCell ref="C86:D86"/>
    <mergeCell ref="B78:D78"/>
    <mergeCell ref="B79:D79"/>
    <mergeCell ref="B80:D80"/>
    <mergeCell ref="A81:D81"/>
    <mergeCell ref="A82:D82"/>
    <mergeCell ref="A83:I83"/>
    <mergeCell ref="B72:D72"/>
    <mergeCell ref="B73:D73"/>
    <mergeCell ref="B74:D74"/>
    <mergeCell ref="B75:D75"/>
    <mergeCell ref="B76:D76"/>
    <mergeCell ref="B77:D77"/>
    <mergeCell ref="B65:D65"/>
    <mergeCell ref="B66:D66"/>
    <mergeCell ref="B67:D67"/>
    <mergeCell ref="B68:D68"/>
    <mergeCell ref="A69:D69"/>
    <mergeCell ref="B71:D71"/>
    <mergeCell ref="B59:D59"/>
    <mergeCell ref="A60:D60"/>
    <mergeCell ref="A61:J61"/>
    <mergeCell ref="A62:J62"/>
    <mergeCell ref="B63:D63"/>
    <mergeCell ref="A64:I64"/>
    <mergeCell ref="A53:J53"/>
    <mergeCell ref="B54:D54"/>
    <mergeCell ref="B55:D55"/>
    <mergeCell ref="B56:D56"/>
    <mergeCell ref="B57:D57"/>
    <mergeCell ref="B58:D58"/>
    <mergeCell ref="A48:D48"/>
    <mergeCell ref="A49:J49"/>
    <mergeCell ref="A50:J50"/>
    <mergeCell ref="A51:C51"/>
    <mergeCell ref="D51:J51"/>
    <mergeCell ref="A52:J52"/>
    <mergeCell ref="C42:D42"/>
    <mergeCell ref="A43:D43"/>
    <mergeCell ref="A44:J44"/>
    <mergeCell ref="A45:D45"/>
    <mergeCell ref="A46:J46"/>
    <mergeCell ref="A47:J47"/>
    <mergeCell ref="B36:D36"/>
    <mergeCell ref="B37:D37"/>
    <mergeCell ref="A38:D38"/>
    <mergeCell ref="A39:J39"/>
    <mergeCell ref="A40:J40"/>
    <mergeCell ref="C41:D41"/>
    <mergeCell ref="A30:D30"/>
    <mergeCell ref="A31:J31"/>
    <mergeCell ref="A32:J32"/>
    <mergeCell ref="B33:D33"/>
    <mergeCell ref="B34:D34"/>
    <mergeCell ref="B35:D35"/>
    <mergeCell ref="B24:D24"/>
    <mergeCell ref="A25:D25"/>
    <mergeCell ref="A26:J26"/>
    <mergeCell ref="A27:J27"/>
    <mergeCell ref="B28:D28"/>
    <mergeCell ref="A29:D29"/>
    <mergeCell ref="A18:J18"/>
    <mergeCell ref="A19:J19"/>
    <mergeCell ref="A20:J20"/>
    <mergeCell ref="A21:J21"/>
    <mergeCell ref="B22:D22"/>
    <mergeCell ref="A23:J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fitToHeight="0" orientation="portrait" r:id="rId1"/>
  <rowBreaks count="4" manualBreakCount="4">
    <brk id="49" max="9" man="1"/>
    <brk id="89" max="9" man="1"/>
    <brk id="117" max="9" man="1"/>
    <brk id="1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96"/>
  <sheetViews>
    <sheet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x14ac:dyDescent="0.2">
      <c r="A1" s="98" t="s">
        <v>254</v>
      </c>
      <c r="B1" s="98"/>
      <c r="C1" s="99"/>
      <c r="D1" s="99"/>
      <c r="E1" s="99"/>
      <c r="F1" s="99"/>
      <c r="G1" s="99"/>
      <c r="H1" s="99"/>
      <c r="I1" s="99"/>
      <c r="J1" s="99"/>
    </row>
    <row r="2" spans="1:10" x14ac:dyDescent="0.2">
      <c r="A2" s="98" t="s">
        <v>490</v>
      </c>
      <c r="B2" s="98"/>
      <c r="C2" s="101"/>
      <c r="D2" s="101"/>
      <c r="E2" s="101"/>
      <c r="F2" s="101"/>
      <c r="G2" s="101"/>
      <c r="H2" s="101"/>
      <c r="I2" s="101"/>
      <c r="J2" s="101"/>
    </row>
    <row r="3" spans="1:10" ht="15" thickBot="1" x14ac:dyDescent="0.25">
      <c r="A3" s="250"/>
      <c r="B3" s="251"/>
      <c r="C3" s="251"/>
      <c r="D3" s="251"/>
      <c r="E3" s="251"/>
      <c r="F3" s="251"/>
      <c r="G3" s="251"/>
      <c r="H3" s="251"/>
      <c r="I3" s="251"/>
      <c r="J3" s="252"/>
    </row>
    <row r="4" spans="1:10" x14ac:dyDescent="0.2">
      <c r="A4" s="253" t="s">
        <v>256</v>
      </c>
      <c r="B4" s="254" t="s">
        <v>257</v>
      </c>
      <c r="C4" s="254"/>
      <c r="D4" s="254"/>
      <c r="E4" s="254"/>
      <c r="F4" s="254"/>
      <c r="G4" s="255"/>
      <c r="H4" s="255"/>
      <c r="I4" s="255"/>
      <c r="J4" s="256"/>
    </row>
    <row r="5" spans="1:10" x14ac:dyDescent="0.2">
      <c r="A5" s="105"/>
      <c r="B5" s="106" t="s">
        <v>491</v>
      </c>
      <c r="C5" s="106"/>
      <c r="D5" s="106"/>
      <c r="E5" s="106"/>
      <c r="F5" s="106"/>
      <c r="G5" s="107"/>
      <c r="H5" s="107"/>
      <c r="I5" s="107"/>
      <c r="J5" s="108"/>
    </row>
    <row r="6" spans="1:10" x14ac:dyDescent="0.2">
      <c r="A6" s="109"/>
      <c r="B6" s="106" t="s">
        <v>492</v>
      </c>
      <c r="C6" s="110"/>
      <c r="D6" s="110"/>
      <c r="E6" s="106"/>
      <c r="F6" s="106"/>
      <c r="G6" s="111"/>
      <c r="H6" s="111"/>
      <c r="I6" s="111"/>
      <c r="J6" s="112">
        <f>H48</f>
        <v>1473400</v>
      </c>
    </row>
    <row r="7" spans="1:10" x14ac:dyDescent="0.2">
      <c r="A7" s="115" t="s">
        <v>260</v>
      </c>
      <c r="B7" s="116" t="s">
        <v>261</v>
      </c>
      <c r="C7" s="116"/>
      <c r="D7" s="116" t="s">
        <v>493</v>
      </c>
      <c r="E7" s="116"/>
      <c r="F7" s="116"/>
      <c r="G7" s="117"/>
      <c r="H7" s="117"/>
      <c r="I7" s="117"/>
      <c r="J7" s="118"/>
    </row>
    <row r="8" spans="1:10" ht="15" thickBot="1" x14ac:dyDescent="0.25">
      <c r="A8" s="119" t="s">
        <v>263</v>
      </c>
      <c r="B8" s="120" t="s">
        <v>494</v>
      </c>
      <c r="C8" s="120"/>
      <c r="D8" s="121"/>
      <c r="E8" s="121"/>
      <c r="F8" s="121"/>
      <c r="G8" s="123"/>
      <c r="H8" s="123"/>
      <c r="I8" s="123"/>
      <c r="J8" s="124"/>
    </row>
    <row r="9" spans="1:10" ht="15" x14ac:dyDescent="0.2">
      <c r="A9" s="280"/>
      <c r="B9" s="280"/>
      <c r="C9" s="280"/>
      <c r="D9" s="280"/>
      <c r="E9" s="280"/>
      <c r="F9" s="280"/>
      <c r="G9" s="280"/>
      <c r="H9" s="280"/>
      <c r="I9" s="280"/>
      <c r="J9" s="280"/>
    </row>
    <row r="10" spans="1:10" ht="14.25" customHeight="1" x14ac:dyDescent="0.2">
      <c r="A10" s="128" t="s">
        <v>265</v>
      </c>
      <c r="B10" s="128"/>
      <c r="C10" s="128"/>
      <c r="D10" s="128"/>
      <c r="E10" s="128"/>
      <c r="F10" s="128"/>
      <c r="G10" s="128"/>
      <c r="H10" s="128"/>
      <c r="I10" s="128"/>
      <c r="J10" s="128"/>
    </row>
    <row r="11" spans="1:10" x14ac:dyDescent="0.2">
      <c r="A11" s="129" t="s">
        <v>495</v>
      </c>
      <c r="B11" s="129"/>
      <c r="C11" s="129"/>
      <c r="D11" s="129"/>
      <c r="E11" s="129"/>
      <c r="F11" s="129"/>
      <c r="G11" s="129"/>
      <c r="H11" s="129"/>
      <c r="I11" s="129"/>
      <c r="J11" s="129"/>
    </row>
    <row r="12" spans="1:10" x14ac:dyDescent="0.2">
      <c r="A12" s="129"/>
      <c r="B12" s="129"/>
      <c r="C12" s="129"/>
      <c r="D12" s="129"/>
      <c r="E12" s="129"/>
      <c r="F12" s="129"/>
      <c r="G12" s="129"/>
      <c r="H12" s="129"/>
      <c r="I12" s="129"/>
      <c r="J12" s="129"/>
    </row>
    <row r="13" spans="1:10" x14ac:dyDescent="0.2">
      <c r="A13" s="128" t="s">
        <v>267</v>
      </c>
      <c r="B13" s="128"/>
      <c r="C13" s="128"/>
      <c r="D13" s="128"/>
      <c r="E13" s="128"/>
      <c r="F13" s="128"/>
      <c r="G13" s="128"/>
      <c r="H13" s="128"/>
      <c r="I13" s="128"/>
      <c r="J13" s="128"/>
    </row>
    <row r="14" spans="1:10" ht="15" customHeight="1" x14ac:dyDescent="0.2">
      <c r="A14" s="129" t="s">
        <v>496</v>
      </c>
      <c r="B14" s="129"/>
      <c r="C14" s="129"/>
      <c r="D14" s="129"/>
      <c r="E14" s="129"/>
      <c r="F14" s="129"/>
      <c r="G14" s="129"/>
      <c r="H14" s="129"/>
      <c r="I14" s="129"/>
      <c r="J14" s="129"/>
    </row>
    <row r="15" spans="1:10" x14ac:dyDescent="0.2">
      <c r="A15" s="128" t="s">
        <v>269</v>
      </c>
      <c r="B15" s="128"/>
      <c r="C15" s="128"/>
      <c r="D15" s="128"/>
      <c r="E15" s="128"/>
      <c r="F15" s="128"/>
      <c r="G15" s="128"/>
      <c r="H15" s="128"/>
      <c r="I15" s="128"/>
      <c r="J15" s="128"/>
    </row>
    <row r="16" spans="1:10" x14ac:dyDescent="0.2">
      <c r="A16" s="129" t="s">
        <v>497</v>
      </c>
      <c r="B16" s="129"/>
      <c r="C16" s="129"/>
      <c r="D16" s="129"/>
      <c r="E16" s="129"/>
      <c r="F16" s="129"/>
      <c r="G16" s="129"/>
      <c r="H16" s="129"/>
      <c r="I16" s="129"/>
      <c r="J16" s="129"/>
    </row>
    <row r="17" spans="1:10" x14ac:dyDescent="0.2">
      <c r="A17" s="128" t="s">
        <v>498</v>
      </c>
      <c r="B17" s="128"/>
      <c r="C17" s="128"/>
      <c r="D17" s="128"/>
      <c r="E17" s="128"/>
      <c r="F17" s="128"/>
      <c r="G17" s="128"/>
      <c r="H17" s="128"/>
      <c r="I17" s="128"/>
      <c r="J17" s="128"/>
    </row>
    <row r="18" spans="1:10" ht="23.25" customHeight="1" x14ac:dyDescent="0.2">
      <c r="A18" s="129" t="s">
        <v>499</v>
      </c>
      <c r="B18" s="310"/>
      <c r="C18" s="310"/>
      <c r="D18" s="310"/>
      <c r="E18" s="310"/>
      <c r="F18" s="310"/>
      <c r="G18" s="310"/>
      <c r="H18" s="310"/>
      <c r="I18" s="310"/>
      <c r="J18" s="310"/>
    </row>
    <row r="19" spans="1:10" ht="33.75" x14ac:dyDescent="0.2">
      <c r="A19" s="130" t="s">
        <v>243</v>
      </c>
      <c r="B19" s="131" t="s">
        <v>242</v>
      </c>
      <c r="C19" s="131"/>
      <c r="D19" s="131"/>
      <c r="E19" s="132" t="str">
        <f>Summary!$G$25</f>
        <v>Actuals           2014-2015</v>
      </c>
      <c r="F19" s="132" t="str">
        <f>Summary!$H$25</f>
        <v>Approved Estimates          2015-2016</v>
      </c>
      <c r="G19" s="132" t="str">
        <f>Summary!$I$25</f>
        <v>Revised Estimates                 2015-2016</v>
      </c>
      <c r="H19" s="132" t="str">
        <f>Summary!$J$25</f>
        <v>Budget Estimates      2016-2017</v>
      </c>
      <c r="I19" s="132" t="str">
        <f>Summary!$K$25</f>
        <v>Forward Estimates     2017-2018</v>
      </c>
      <c r="J19" s="132" t="str">
        <f>Summary!$L$25</f>
        <v>Forward Estimates     2018-2019</v>
      </c>
    </row>
    <row r="20" spans="1:10" x14ac:dyDescent="0.2">
      <c r="A20" s="128" t="s">
        <v>276</v>
      </c>
      <c r="B20" s="128"/>
      <c r="C20" s="128"/>
      <c r="D20" s="128"/>
      <c r="E20" s="128"/>
      <c r="F20" s="128"/>
      <c r="G20" s="128"/>
      <c r="H20" s="128"/>
      <c r="I20" s="128"/>
      <c r="J20" s="128"/>
    </row>
    <row r="21" spans="1:10" x14ac:dyDescent="0.2">
      <c r="A21" s="207" t="s">
        <v>500</v>
      </c>
      <c r="B21" s="129" t="s">
        <v>501</v>
      </c>
      <c r="C21" s="129"/>
      <c r="D21" s="129"/>
      <c r="E21" s="211">
        <f t="shared" ref="E21:J21" si="0">E59</f>
        <v>2872.45</v>
      </c>
      <c r="F21" s="209">
        <f t="shared" si="0"/>
        <v>800</v>
      </c>
      <c r="G21" s="211">
        <f t="shared" si="0"/>
        <v>800</v>
      </c>
      <c r="H21" s="210">
        <f t="shared" si="0"/>
        <v>800</v>
      </c>
      <c r="I21" s="211">
        <f t="shared" si="0"/>
        <v>800</v>
      </c>
      <c r="J21" s="211">
        <f t="shared" si="0"/>
        <v>800</v>
      </c>
    </row>
    <row r="22" spans="1:10" x14ac:dyDescent="0.2">
      <c r="A22" s="207" t="s">
        <v>502</v>
      </c>
      <c r="B22" s="129" t="s">
        <v>503</v>
      </c>
      <c r="C22" s="129"/>
      <c r="D22" s="129"/>
      <c r="E22" s="211">
        <f t="shared" ref="E22:J22" si="1">E126</f>
        <v>0</v>
      </c>
      <c r="F22" s="209">
        <f t="shared" si="1"/>
        <v>0</v>
      </c>
      <c r="G22" s="211">
        <f t="shared" si="1"/>
        <v>0</v>
      </c>
      <c r="H22" s="210">
        <f t="shared" si="1"/>
        <v>0</v>
      </c>
      <c r="I22" s="211">
        <f t="shared" si="1"/>
        <v>0</v>
      </c>
      <c r="J22" s="211">
        <f t="shared" si="1"/>
        <v>0</v>
      </c>
    </row>
    <row r="23" spans="1:10" x14ac:dyDescent="0.2">
      <c r="A23" s="207" t="s">
        <v>504</v>
      </c>
      <c r="B23" s="129" t="s">
        <v>505</v>
      </c>
      <c r="C23" s="129"/>
      <c r="D23" s="129"/>
      <c r="E23" s="211">
        <f t="shared" ref="E23:J23" si="2">E186</f>
        <v>1000</v>
      </c>
      <c r="F23" s="209">
        <f t="shared" si="2"/>
        <v>25000</v>
      </c>
      <c r="G23" s="211">
        <f t="shared" si="2"/>
        <v>25000</v>
      </c>
      <c r="H23" s="210">
        <f t="shared" si="2"/>
        <v>0</v>
      </c>
      <c r="I23" s="211">
        <f t="shared" si="2"/>
        <v>0</v>
      </c>
      <c r="J23" s="211">
        <f t="shared" si="2"/>
        <v>0</v>
      </c>
    </row>
    <row r="24" spans="1:10" x14ac:dyDescent="0.2">
      <c r="A24" s="207" t="s">
        <v>506</v>
      </c>
      <c r="B24" s="129" t="s">
        <v>507</v>
      </c>
      <c r="C24" s="129"/>
      <c r="D24" s="129"/>
      <c r="E24" s="211">
        <f t="shared" ref="E24:J24" si="3">E256</f>
        <v>0</v>
      </c>
      <c r="F24" s="209">
        <f t="shared" si="3"/>
        <v>0</v>
      </c>
      <c r="G24" s="211">
        <f t="shared" si="3"/>
        <v>0</v>
      </c>
      <c r="H24" s="210">
        <f t="shared" si="3"/>
        <v>0</v>
      </c>
      <c r="I24" s="211">
        <f t="shared" si="3"/>
        <v>0</v>
      </c>
      <c r="J24" s="211">
        <f t="shared" si="3"/>
        <v>0</v>
      </c>
    </row>
    <row r="25" spans="1:10" x14ac:dyDescent="0.2">
      <c r="A25" s="137" t="s">
        <v>508</v>
      </c>
      <c r="B25" s="137"/>
      <c r="C25" s="137"/>
      <c r="D25" s="137"/>
      <c r="E25" s="138">
        <f t="shared" ref="E25:J25" si="4">SUM(E21:E24)</f>
        <v>3872.45</v>
      </c>
      <c r="F25" s="138">
        <f t="shared" si="4"/>
        <v>25800</v>
      </c>
      <c r="G25" s="138">
        <f t="shared" si="4"/>
        <v>25800</v>
      </c>
      <c r="H25" s="138">
        <f t="shared" si="4"/>
        <v>800</v>
      </c>
      <c r="I25" s="138">
        <f t="shared" si="4"/>
        <v>800</v>
      </c>
      <c r="J25" s="138">
        <f t="shared" si="4"/>
        <v>800</v>
      </c>
    </row>
    <row r="26" spans="1:10" x14ac:dyDescent="0.2">
      <c r="A26" s="129"/>
      <c r="B26" s="129"/>
      <c r="C26" s="129"/>
      <c r="D26" s="129"/>
      <c r="E26" s="129"/>
      <c r="F26" s="129"/>
      <c r="G26" s="129"/>
      <c r="H26" s="129"/>
      <c r="I26" s="129"/>
      <c r="J26" s="129"/>
    </row>
    <row r="27" spans="1:10" x14ac:dyDescent="0.2">
      <c r="A27" s="128" t="s">
        <v>281</v>
      </c>
      <c r="B27" s="128"/>
      <c r="C27" s="128"/>
      <c r="D27" s="128"/>
      <c r="E27" s="128"/>
      <c r="F27" s="128"/>
      <c r="G27" s="128"/>
      <c r="H27" s="128"/>
      <c r="I27" s="128"/>
      <c r="J27" s="128"/>
    </row>
    <row r="28" spans="1:10" x14ac:dyDescent="0.2">
      <c r="A28" s="207" t="s">
        <v>500</v>
      </c>
      <c r="B28" s="129" t="s">
        <v>501</v>
      </c>
      <c r="C28" s="129"/>
      <c r="D28" s="129"/>
      <c r="E28" s="211">
        <f t="shared" ref="E28:J28" si="5">E83+E89</f>
        <v>832936.37999999989</v>
      </c>
      <c r="F28" s="209">
        <f t="shared" si="5"/>
        <v>1006200</v>
      </c>
      <c r="G28" s="211">
        <f t="shared" si="5"/>
        <v>1006200</v>
      </c>
      <c r="H28" s="210">
        <f t="shared" si="5"/>
        <v>1022600</v>
      </c>
      <c r="I28" s="211">
        <f t="shared" si="5"/>
        <v>1026700</v>
      </c>
      <c r="J28" s="211">
        <f t="shared" si="5"/>
        <v>1029200</v>
      </c>
    </row>
    <row r="29" spans="1:10" x14ac:dyDescent="0.2">
      <c r="A29" s="207" t="s">
        <v>502</v>
      </c>
      <c r="B29" s="129" t="s">
        <v>503</v>
      </c>
      <c r="C29" s="129"/>
      <c r="D29" s="129"/>
      <c r="E29" s="211">
        <f t="shared" ref="E29:J29" si="6">E147+E154</f>
        <v>390245.91000000003</v>
      </c>
      <c r="F29" s="209">
        <f t="shared" si="6"/>
        <v>319700</v>
      </c>
      <c r="G29" s="211">
        <f t="shared" si="6"/>
        <v>319700</v>
      </c>
      <c r="H29" s="210">
        <f t="shared" si="6"/>
        <v>282800</v>
      </c>
      <c r="I29" s="211">
        <f t="shared" si="6"/>
        <v>291600</v>
      </c>
      <c r="J29" s="211">
        <f t="shared" si="6"/>
        <v>286000</v>
      </c>
    </row>
    <row r="30" spans="1:10" x14ac:dyDescent="0.2">
      <c r="A30" s="207" t="s">
        <v>504</v>
      </c>
      <c r="B30" s="129" t="s">
        <v>505</v>
      </c>
      <c r="C30" s="129"/>
      <c r="D30" s="129"/>
      <c r="E30" s="211">
        <f t="shared" ref="E30:J30" si="7">E210+E217</f>
        <v>1084250.56</v>
      </c>
      <c r="F30" s="209">
        <f t="shared" si="7"/>
        <v>1277300</v>
      </c>
      <c r="G30" s="211">
        <f t="shared" si="7"/>
        <v>1277300</v>
      </c>
      <c r="H30" s="210">
        <f t="shared" si="7"/>
        <v>0</v>
      </c>
      <c r="I30" s="211">
        <f t="shared" si="7"/>
        <v>0</v>
      </c>
      <c r="J30" s="211">
        <f t="shared" si="7"/>
        <v>0</v>
      </c>
    </row>
    <row r="31" spans="1:10" x14ac:dyDescent="0.2">
      <c r="A31" s="207" t="s">
        <v>506</v>
      </c>
      <c r="B31" s="129" t="s">
        <v>507</v>
      </c>
      <c r="C31" s="129"/>
      <c r="D31" s="129"/>
      <c r="E31" s="211">
        <f t="shared" ref="E31:J31" si="8">E278+E284</f>
        <v>124127.08</v>
      </c>
      <c r="F31" s="209">
        <f t="shared" si="8"/>
        <v>170000</v>
      </c>
      <c r="G31" s="211">
        <f t="shared" si="8"/>
        <v>170000</v>
      </c>
      <c r="H31" s="210">
        <f t="shared" si="8"/>
        <v>168000</v>
      </c>
      <c r="I31" s="211">
        <f t="shared" si="8"/>
        <v>168000</v>
      </c>
      <c r="J31" s="211">
        <f t="shared" si="8"/>
        <v>168000</v>
      </c>
    </row>
    <row r="32" spans="1:10" x14ac:dyDescent="0.2">
      <c r="A32" s="139" t="s">
        <v>509</v>
      </c>
      <c r="B32" s="139"/>
      <c r="C32" s="139"/>
      <c r="D32" s="139"/>
      <c r="E32" s="140">
        <f t="shared" ref="E32:J32" si="9">SUM(E28:E31)</f>
        <v>2431559.9300000002</v>
      </c>
      <c r="F32" s="140">
        <f t="shared" si="9"/>
        <v>2773200</v>
      </c>
      <c r="G32" s="140">
        <f t="shared" si="9"/>
        <v>2773200</v>
      </c>
      <c r="H32" s="140">
        <f t="shared" si="9"/>
        <v>1473400</v>
      </c>
      <c r="I32" s="140">
        <f t="shared" si="9"/>
        <v>1486300</v>
      </c>
      <c r="J32" s="140">
        <f t="shared" si="9"/>
        <v>1483200</v>
      </c>
    </row>
    <row r="33" spans="1:10" x14ac:dyDescent="0.2">
      <c r="A33" s="151"/>
      <c r="B33" s="151"/>
      <c r="C33" s="151"/>
      <c r="D33" s="151"/>
      <c r="E33" s="261"/>
      <c r="F33" s="286"/>
      <c r="G33" s="261"/>
      <c r="H33" s="303"/>
      <c r="I33" s="261"/>
      <c r="J33" s="261"/>
    </row>
    <row r="34" spans="1:10" x14ac:dyDescent="0.2">
      <c r="A34" s="141" t="s">
        <v>283</v>
      </c>
      <c r="B34" s="141"/>
      <c r="C34" s="141"/>
      <c r="D34" s="141"/>
      <c r="E34" s="141"/>
      <c r="F34" s="141"/>
      <c r="G34" s="141"/>
      <c r="H34" s="141"/>
      <c r="I34" s="141"/>
      <c r="J34" s="141"/>
    </row>
    <row r="35" spans="1:10" x14ac:dyDescent="0.2">
      <c r="A35" s="131" t="s">
        <v>284</v>
      </c>
      <c r="B35" s="131"/>
      <c r="C35" s="131"/>
      <c r="D35" s="131"/>
      <c r="E35" s="131"/>
      <c r="F35" s="131"/>
      <c r="G35" s="131"/>
      <c r="H35" s="131"/>
      <c r="I35" s="131"/>
      <c r="J35" s="131"/>
    </row>
    <row r="36" spans="1:10" x14ac:dyDescent="0.2">
      <c r="A36" s="207"/>
      <c r="B36" s="129" t="s">
        <v>7</v>
      </c>
      <c r="C36" s="129"/>
      <c r="D36" s="129"/>
      <c r="E36" s="211">
        <f t="shared" ref="E36:J36" si="10">E319</f>
        <v>1104246.8899999999</v>
      </c>
      <c r="F36" s="209">
        <f t="shared" si="10"/>
        <v>1383900</v>
      </c>
      <c r="G36" s="211">
        <f t="shared" si="10"/>
        <v>1383900</v>
      </c>
      <c r="H36" s="210">
        <f t="shared" si="10"/>
        <v>716300</v>
      </c>
      <c r="I36" s="211">
        <f t="shared" si="10"/>
        <v>722000</v>
      </c>
      <c r="J36" s="211">
        <f t="shared" si="10"/>
        <v>726100</v>
      </c>
    </row>
    <row r="37" spans="1:10" x14ac:dyDescent="0.2">
      <c r="A37" s="207"/>
      <c r="B37" s="129" t="s">
        <v>196</v>
      </c>
      <c r="C37" s="129"/>
      <c r="D37" s="129"/>
      <c r="E37" s="211">
        <f t="shared" ref="E37:J37" si="11">E325</f>
        <v>107947.67</v>
      </c>
      <c r="F37" s="209">
        <f t="shared" si="11"/>
        <v>250800</v>
      </c>
      <c r="G37" s="211">
        <f t="shared" si="11"/>
        <v>250800</v>
      </c>
      <c r="H37" s="210">
        <f t="shared" si="11"/>
        <v>164800</v>
      </c>
      <c r="I37" s="211">
        <f t="shared" si="11"/>
        <v>164800</v>
      </c>
      <c r="J37" s="211">
        <f t="shared" si="11"/>
        <v>164800</v>
      </c>
    </row>
    <row r="38" spans="1:10" x14ac:dyDescent="0.2">
      <c r="A38" s="207"/>
      <c r="B38" s="129" t="s">
        <v>285</v>
      </c>
      <c r="C38" s="129"/>
      <c r="D38" s="129"/>
      <c r="E38" s="211">
        <f t="shared" ref="E38:J38" si="12">E331</f>
        <v>444970.02</v>
      </c>
      <c r="F38" s="209">
        <f t="shared" si="12"/>
        <v>375400</v>
      </c>
      <c r="G38" s="211">
        <f t="shared" si="12"/>
        <v>375400</v>
      </c>
      <c r="H38" s="210">
        <f t="shared" si="12"/>
        <v>194800</v>
      </c>
      <c r="I38" s="211">
        <f t="shared" si="12"/>
        <v>194800</v>
      </c>
      <c r="J38" s="211">
        <f t="shared" si="12"/>
        <v>194800</v>
      </c>
    </row>
    <row r="39" spans="1:10" x14ac:dyDescent="0.2">
      <c r="A39" s="207"/>
      <c r="B39" s="129" t="s">
        <v>198</v>
      </c>
      <c r="C39" s="129"/>
      <c r="D39" s="129"/>
      <c r="E39" s="211">
        <f t="shared" ref="E39:J39" si="13">E337</f>
        <v>23562</v>
      </c>
      <c r="F39" s="209">
        <f t="shared" si="13"/>
        <v>65700</v>
      </c>
      <c r="G39" s="211">
        <f t="shared" si="13"/>
        <v>65700</v>
      </c>
      <c r="H39" s="210">
        <f t="shared" si="13"/>
        <v>0</v>
      </c>
      <c r="I39" s="211">
        <f t="shared" si="13"/>
        <v>7200</v>
      </c>
      <c r="J39" s="211">
        <f t="shared" si="13"/>
        <v>0</v>
      </c>
    </row>
    <row r="40" spans="1:10" x14ac:dyDescent="0.2">
      <c r="A40" s="207"/>
      <c r="B40" s="129" t="s">
        <v>286</v>
      </c>
      <c r="C40" s="129"/>
      <c r="D40" s="129"/>
      <c r="E40" s="211">
        <f t="shared" ref="E40:J40" si="14">E343</f>
        <v>750833.35</v>
      </c>
      <c r="F40" s="209">
        <f t="shared" si="14"/>
        <v>697400</v>
      </c>
      <c r="G40" s="211">
        <f t="shared" si="14"/>
        <v>697400</v>
      </c>
      <c r="H40" s="210">
        <f t="shared" si="14"/>
        <v>397500</v>
      </c>
      <c r="I40" s="211">
        <f t="shared" si="14"/>
        <v>397500</v>
      </c>
      <c r="J40" s="211">
        <f t="shared" si="14"/>
        <v>397500</v>
      </c>
    </row>
    <row r="41" spans="1:10" x14ac:dyDescent="0.2">
      <c r="A41" s="139" t="s">
        <v>287</v>
      </c>
      <c r="B41" s="139"/>
      <c r="C41" s="139"/>
      <c r="D41" s="139"/>
      <c r="E41" s="140">
        <f t="shared" ref="E41:J41" si="15">SUM(E36:E40)</f>
        <v>2431559.9299999997</v>
      </c>
      <c r="F41" s="140">
        <f t="shared" si="15"/>
        <v>2773200</v>
      </c>
      <c r="G41" s="140">
        <f t="shared" si="15"/>
        <v>2773200</v>
      </c>
      <c r="H41" s="140">
        <f t="shared" si="15"/>
        <v>1473400</v>
      </c>
      <c r="I41" s="140">
        <f t="shared" si="15"/>
        <v>1486300</v>
      </c>
      <c r="J41" s="140">
        <f t="shared" si="15"/>
        <v>1483200</v>
      </c>
    </row>
    <row r="42" spans="1:10" x14ac:dyDescent="0.2">
      <c r="A42" s="129"/>
      <c r="B42" s="129"/>
      <c r="C42" s="129"/>
      <c r="D42" s="129"/>
      <c r="E42" s="129"/>
      <c r="F42" s="129"/>
      <c r="G42" s="129"/>
      <c r="H42" s="129"/>
      <c r="I42" s="129"/>
      <c r="J42" s="129"/>
    </row>
    <row r="43" spans="1:10" hidden="1" x14ac:dyDescent="0.2">
      <c r="A43" s="131" t="s">
        <v>15</v>
      </c>
      <c r="B43" s="131"/>
      <c r="C43" s="131"/>
      <c r="D43" s="131"/>
      <c r="E43" s="131"/>
      <c r="F43" s="131"/>
      <c r="G43" s="131"/>
      <c r="H43" s="131"/>
      <c r="I43" s="131"/>
      <c r="J43" s="131"/>
    </row>
    <row r="44" spans="1:10" hidden="1" x14ac:dyDescent="0.2">
      <c r="A44" s="130" t="s">
        <v>243</v>
      </c>
      <c r="B44" s="130" t="s">
        <v>244</v>
      </c>
      <c r="C44" s="131" t="s">
        <v>245</v>
      </c>
      <c r="D44" s="142"/>
      <c r="E44" s="143"/>
      <c r="F44" s="143"/>
      <c r="G44" s="143"/>
      <c r="H44" s="143"/>
      <c r="I44" s="143"/>
      <c r="J44" s="143"/>
    </row>
    <row r="45" spans="1:10" hidden="1" x14ac:dyDescent="0.2">
      <c r="A45" s="261"/>
      <c r="B45" s="261"/>
      <c r="C45" s="129"/>
      <c r="D45" s="101"/>
      <c r="E45" s="211"/>
      <c r="F45" s="209"/>
      <c r="G45" s="211"/>
      <c r="H45" s="210"/>
      <c r="I45" s="211"/>
      <c r="J45" s="211"/>
    </row>
    <row r="46" spans="1:10" hidden="1" x14ac:dyDescent="0.2">
      <c r="A46" s="139" t="s">
        <v>69</v>
      </c>
      <c r="B46" s="139"/>
      <c r="C46" s="139"/>
      <c r="D46" s="139"/>
      <c r="E46" s="140">
        <f t="shared" ref="E46:J46" si="16">SUM(E45:E45)</f>
        <v>0</v>
      </c>
      <c r="F46" s="140">
        <f t="shared" si="16"/>
        <v>0</v>
      </c>
      <c r="G46" s="140">
        <f t="shared" si="16"/>
        <v>0</v>
      </c>
      <c r="H46" s="140">
        <f t="shared" si="16"/>
        <v>0</v>
      </c>
      <c r="I46" s="140">
        <f t="shared" si="16"/>
        <v>0</v>
      </c>
      <c r="J46" s="140">
        <f t="shared" si="16"/>
        <v>0</v>
      </c>
    </row>
    <row r="47" spans="1:10" hidden="1" x14ac:dyDescent="0.2">
      <c r="A47" s="129"/>
      <c r="B47" s="129"/>
      <c r="C47" s="129"/>
      <c r="D47" s="129"/>
      <c r="E47" s="129"/>
      <c r="F47" s="129"/>
      <c r="G47" s="129"/>
      <c r="H47" s="129"/>
      <c r="I47" s="129"/>
      <c r="J47" s="129"/>
    </row>
    <row r="48" spans="1:10" hidden="1" x14ac:dyDescent="0.2">
      <c r="A48" s="137" t="s">
        <v>509</v>
      </c>
      <c r="B48" s="137"/>
      <c r="C48" s="137"/>
      <c r="D48" s="137"/>
      <c r="E48" s="147">
        <f t="shared" ref="E48:J48" si="17">SUM(E41,E46)</f>
        <v>2431559.9299999997</v>
      </c>
      <c r="F48" s="147">
        <f t="shared" si="17"/>
        <v>2773200</v>
      </c>
      <c r="G48" s="147">
        <f t="shared" si="17"/>
        <v>2773200</v>
      </c>
      <c r="H48" s="147">
        <f t="shared" si="17"/>
        <v>1473400</v>
      </c>
      <c r="I48" s="147">
        <f t="shared" si="17"/>
        <v>1486300</v>
      </c>
      <c r="J48" s="147">
        <f t="shared" si="17"/>
        <v>1483200</v>
      </c>
    </row>
    <row r="49" spans="1:10" hidden="1" x14ac:dyDescent="0.2">
      <c r="A49" s="129"/>
      <c r="B49" s="129"/>
      <c r="C49" s="129"/>
      <c r="D49" s="129"/>
      <c r="E49" s="129"/>
      <c r="F49" s="129"/>
      <c r="G49" s="129"/>
      <c r="H49" s="129"/>
      <c r="I49" s="129"/>
      <c r="J49" s="129"/>
    </row>
    <row r="50" spans="1:10" hidden="1" x14ac:dyDescent="0.2">
      <c r="A50" s="128" t="s">
        <v>288</v>
      </c>
      <c r="B50" s="128"/>
      <c r="C50" s="128"/>
      <c r="D50" s="128"/>
      <c r="E50" s="128"/>
      <c r="F50" s="128"/>
      <c r="G50" s="128"/>
      <c r="H50" s="128"/>
      <c r="I50" s="128"/>
      <c r="J50" s="128"/>
    </row>
    <row r="51" spans="1:10" hidden="1" x14ac:dyDescent="0.2">
      <c r="A51" s="137" t="s">
        <v>289</v>
      </c>
      <c r="B51" s="137"/>
      <c r="C51" s="137"/>
      <c r="D51" s="137"/>
      <c r="E51" s="149"/>
      <c r="F51" s="149"/>
      <c r="G51" s="149"/>
      <c r="H51" s="148"/>
      <c r="I51" s="149"/>
      <c r="J51" s="149"/>
    </row>
    <row r="52" spans="1:10" hidden="1" x14ac:dyDescent="0.2">
      <c r="A52" s="129"/>
      <c r="B52" s="129"/>
      <c r="C52" s="129"/>
      <c r="D52" s="129"/>
      <c r="E52" s="129"/>
      <c r="F52" s="129"/>
      <c r="G52" s="129"/>
      <c r="H52" s="129"/>
      <c r="I52" s="129"/>
      <c r="J52" s="129"/>
    </row>
    <row r="53" spans="1:10" x14ac:dyDescent="0.2">
      <c r="A53" s="150" t="s">
        <v>510</v>
      </c>
      <c r="B53" s="150"/>
      <c r="C53" s="150"/>
      <c r="D53" s="150"/>
      <c r="E53" s="150"/>
      <c r="F53" s="150"/>
      <c r="G53" s="150"/>
      <c r="H53" s="150"/>
      <c r="I53" s="150"/>
      <c r="J53" s="150"/>
    </row>
    <row r="54" spans="1:10" ht="13.5" customHeight="1" x14ac:dyDescent="0.2">
      <c r="A54" s="151" t="s">
        <v>291</v>
      </c>
      <c r="B54" s="151"/>
      <c r="C54" s="151"/>
      <c r="D54" s="101"/>
      <c r="E54" s="101"/>
      <c r="F54" s="101"/>
      <c r="G54" s="101"/>
      <c r="H54" s="101"/>
      <c r="I54" s="101"/>
      <c r="J54" s="101"/>
    </row>
    <row r="55" spans="1:10" x14ac:dyDescent="0.2">
      <c r="A55" s="129" t="s">
        <v>511</v>
      </c>
      <c r="B55" s="129"/>
      <c r="C55" s="129"/>
      <c r="D55" s="129"/>
      <c r="E55" s="129"/>
      <c r="F55" s="129"/>
      <c r="G55" s="129"/>
      <c r="H55" s="129"/>
      <c r="I55" s="129"/>
      <c r="J55" s="129"/>
    </row>
    <row r="56" spans="1:10" x14ac:dyDescent="0.2">
      <c r="A56" s="128" t="s">
        <v>293</v>
      </c>
      <c r="B56" s="128"/>
      <c r="C56" s="128"/>
      <c r="D56" s="128"/>
      <c r="E56" s="128"/>
      <c r="F56" s="128"/>
      <c r="G56" s="128"/>
      <c r="H56" s="128"/>
      <c r="I56" s="128"/>
      <c r="J56" s="128"/>
    </row>
    <row r="57" spans="1:10" ht="33.75" x14ac:dyDescent="0.2">
      <c r="A57" s="152" t="s">
        <v>243</v>
      </c>
      <c r="B57" s="151" t="s">
        <v>242</v>
      </c>
      <c r="C57" s="151"/>
      <c r="D57" s="151"/>
      <c r="E57" s="132" t="str">
        <f t="shared" ref="E57:J57" si="18">E19</f>
        <v>Actuals           2014-2015</v>
      </c>
      <c r="F57" s="132" t="str">
        <f t="shared" si="18"/>
        <v>Approved Estimates          2015-2016</v>
      </c>
      <c r="G57" s="132" t="str">
        <f t="shared" si="18"/>
        <v>Revised Estimates                 2015-2016</v>
      </c>
      <c r="H57" s="132" t="str">
        <f t="shared" si="18"/>
        <v>Budget Estimates      2016-2017</v>
      </c>
      <c r="I57" s="132" t="str">
        <f t="shared" si="18"/>
        <v>Forward Estimates     2017-2018</v>
      </c>
      <c r="J57" s="132" t="str">
        <f t="shared" si="18"/>
        <v>Forward Estimates     2018-2019</v>
      </c>
    </row>
    <row r="58" spans="1:10" x14ac:dyDescent="0.2">
      <c r="A58" s="207">
        <v>160</v>
      </c>
      <c r="B58" s="129" t="s">
        <v>512</v>
      </c>
      <c r="C58" s="129"/>
      <c r="D58" s="129"/>
      <c r="E58" s="211">
        <v>2872.45</v>
      </c>
      <c r="F58" s="209">
        <v>800</v>
      </c>
      <c r="G58" s="211">
        <f>2200-1800+400</f>
        <v>800</v>
      </c>
      <c r="H58" s="210">
        <f>2200-1800+400</f>
        <v>800</v>
      </c>
      <c r="I58" s="211">
        <f>2200-1800+400</f>
        <v>800</v>
      </c>
      <c r="J58" s="211">
        <f>2200-1800+400</f>
        <v>800</v>
      </c>
    </row>
    <row r="59" spans="1:10" x14ac:dyDescent="0.2">
      <c r="A59" s="137" t="s">
        <v>32</v>
      </c>
      <c r="B59" s="137"/>
      <c r="C59" s="137"/>
      <c r="D59" s="137"/>
      <c r="E59" s="138">
        <f t="shared" ref="E59:J59" si="19">SUM(E58:E58)</f>
        <v>2872.45</v>
      </c>
      <c r="F59" s="138">
        <f t="shared" si="19"/>
        <v>800</v>
      </c>
      <c r="G59" s="138">
        <f t="shared" si="19"/>
        <v>800</v>
      </c>
      <c r="H59" s="138">
        <f t="shared" si="19"/>
        <v>800</v>
      </c>
      <c r="I59" s="138">
        <f t="shared" si="19"/>
        <v>800</v>
      </c>
      <c r="J59" s="138">
        <f t="shared" si="19"/>
        <v>800</v>
      </c>
    </row>
    <row r="60" spans="1:10" ht="11.25" customHeight="1" x14ac:dyDescent="0.2">
      <c r="A60" s="129"/>
      <c r="B60" s="129"/>
      <c r="C60" s="129"/>
      <c r="D60" s="129"/>
      <c r="E60" s="129"/>
      <c r="F60" s="129"/>
      <c r="G60" s="129"/>
      <c r="H60" s="129"/>
      <c r="I60" s="129"/>
      <c r="J60" s="129"/>
    </row>
    <row r="61" spans="1:10" x14ac:dyDescent="0.2">
      <c r="A61" s="128" t="s">
        <v>284</v>
      </c>
      <c r="B61" s="128"/>
      <c r="C61" s="128"/>
      <c r="D61" s="128"/>
      <c r="E61" s="128"/>
      <c r="F61" s="128"/>
      <c r="G61" s="128"/>
      <c r="H61" s="128"/>
      <c r="I61" s="128"/>
      <c r="J61" s="128"/>
    </row>
    <row r="62" spans="1:10" ht="33.75" x14ac:dyDescent="0.2">
      <c r="A62" s="152" t="s">
        <v>243</v>
      </c>
      <c r="B62" s="151" t="s">
        <v>242</v>
      </c>
      <c r="C62" s="151"/>
      <c r="D62" s="151"/>
      <c r="E62" s="132" t="str">
        <f t="shared" ref="E62:J62" si="20">E19</f>
        <v>Actuals           2014-2015</v>
      </c>
      <c r="F62" s="132" t="str">
        <f t="shared" si="20"/>
        <v>Approved Estimates          2015-2016</v>
      </c>
      <c r="G62" s="132" t="str">
        <f t="shared" si="20"/>
        <v>Revised Estimates                 2015-2016</v>
      </c>
      <c r="H62" s="132" t="str">
        <f t="shared" si="20"/>
        <v>Budget Estimates      2016-2017</v>
      </c>
      <c r="I62" s="132" t="str">
        <f t="shared" si="20"/>
        <v>Forward Estimates     2017-2018</v>
      </c>
      <c r="J62" s="132" t="str">
        <f t="shared" si="20"/>
        <v>Forward Estimates     2018-2019</v>
      </c>
    </row>
    <row r="63" spans="1:10" ht="12" customHeight="1" x14ac:dyDescent="0.2">
      <c r="A63" s="151" t="s">
        <v>7</v>
      </c>
      <c r="B63" s="151"/>
      <c r="C63" s="151"/>
      <c r="D63" s="151"/>
      <c r="E63" s="151"/>
      <c r="F63" s="151"/>
      <c r="G63" s="151"/>
      <c r="H63" s="151"/>
      <c r="I63" s="151"/>
      <c r="J63" s="190"/>
    </row>
    <row r="64" spans="1:10" x14ac:dyDescent="0.2">
      <c r="A64" s="207">
        <v>210</v>
      </c>
      <c r="B64" s="129" t="s">
        <v>7</v>
      </c>
      <c r="C64" s="129"/>
      <c r="D64" s="129"/>
      <c r="E64" s="211">
        <v>448707.82</v>
      </c>
      <c r="F64" s="209">
        <v>548100</v>
      </c>
      <c r="G64" s="211">
        <v>548100</v>
      </c>
      <c r="H64" s="210">
        <v>606400</v>
      </c>
      <c r="I64" s="209">
        <v>610500</v>
      </c>
      <c r="J64" s="209">
        <v>613000</v>
      </c>
    </row>
    <row r="65" spans="1:10" x14ac:dyDescent="0.2">
      <c r="A65" s="207">
        <v>212</v>
      </c>
      <c r="B65" s="129" t="s">
        <v>9</v>
      </c>
      <c r="C65" s="129"/>
      <c r="D65" s="129"/>
      <c r="E65" s="211">
        <v>0</v>
      </c>
      <c r="F65" s="209">
        <v>0</v>
      </c>
      <c r="G65" s="211">
        <v>0</v>
      </c>
      <c r="H65" s="210">
        <v>0</v>
      </c>
      <c r="I65" s="209">
        <v>0</v>
      </c>
      <c r="J65" s="209">
        <v>0</v>
      </c>
    </row>
    <row r="66" spans="1:10" x14ac:dyDescent="0.2">
      <c r="A66" s="207">
        <v>216</v>
      </c>
      <c r="B66" s="129" t="s">
        <v>10</v>
      </c>
      <c r="C66" s="129"/>
      <c r="D66" s="129"/>
      <c r="E66" s="211">
        <v>165178.9</v>
      </c>
      <c r="F66" s="209">
        <v>185200</v>
      </c>
      <c r="G66" s="211">
        <v>185200</v>
      </c>
      <c r="H66" s="210">
        <v>185200</v>
      </c>
      <c r="I66" s="209">
        <v>185200</v>
      </c>
      <c r="J66" s="209">
        <v>185200</v>
      </c>
    </row>
    <row r="67" spans="1:10" x14ac:dyDescent="0.2">
      <c r="A67" s="207">
        <v>218</v>
      </c>
      <c r="B67" s="129" t="s">
        <v>294</v>
      </c>
      <c r="C67" s="129"/>
      <c r="D67" s="129"/>
      <c r="E67" s="211">
        <v>0</v>
      </c>
      <c r="F67" s="209">
        <v>0</v>
      </c>
      <c r="G67" s="211">
        <v>0</v>
      </c>
      <c r="H67" s="210">
        <v>0</v>
      </c>
      <c r="I67" s="209">
        <v>0</v>
      </c>
      <c r="J67" s="209">
        <v>0</v>
      </c>
    </row>
    <row r="68" spans="1:10" x14ac:dyDescent="0.2">
      <c r="A68" s="156" t="s">
        <v>295</v>
      </c>
      <c r="B68" s="156"/>
      <c r="C68" s="156"/>
      <c r="D68" s="156"/>
      <c r="E68" s="157">
        <f t="shared" ref="E68:J68" si="21">SUM(E64:E67)</f>
        <v>613886.71999999997</v>
      </c>
      <c r="F68" s="157">
        <f t="shared" si="21"/>
        <v>733300</v>
      </c>
      <c r="G68" s="157">
        <f t="shared" si="21"/>
        <v>733300</v>
      </c>
      <c r="H68" s="157">
        <f t="shared" si="21"/>
        <v>791600</v>
      </c>
      <c r="I68" s="157">
        <f t="shared" si="21"/>
        <v>795700</v>
      </c>
      <c r="J68" s="157">
        <f t="shared" si="21"/>
        <v>798200</v>
      </c>
    </row>
    <row r="69" spans="1:10" x14ac:dyDescent="0.2">
      <c r="A69" s="156" t="s">
        <v>296</v>
      </c>
      <c r="B69" s="156"/>
      <c r="C69" s="156"/>
      <c r="D69" s="156"/>
      <c r="E69" s="156"/>
      <c r="F69" s="156"/>
      <c r="G69" s="156"/>
      <c r="H69" s="156"/>
      <c r="I69" s="156"/>
      <c r="J69" s="190"/>
    </row>
    <row r="70" spans="1:10" x14ac:dyDescent="0.2">
      <c r="A70" s="207">
        <v>220</v>
      </c>
      <c r="B70" s="129" t="s">
        <v>204</v>
      </c>
      <c r="C70" s="129"/>
      <c r="D70" s="129"/>
      <c r="E70" s="211">
        <v>3776.52</v>
      </c>
      <c r="F70" s="211">
        <v>6000</v>
      </c>
      <c r="G70" s="211">
        <v>6000</v>
      </c>
      <c r="H70" s="210">
        <v>6000</v>
      </c>
      <c r="I70" s="211">
        <v>6000</v>
      </c>
      <c r="J70" s="211">
        <v>6000</v>
      </c>
    </row>
    <row r="71" spans="1:10" x14ac:dyDescent="0.2">
      <c r="A71" s="207">
        <v>224</v>
      </c>
      <c r="B71" s="129" t="s">
        <v>206</v>
      </c>
      <c r="C71" s="129"/>
      <c r="D71" s="129"/>
      <c r="E71" s="211">
        <v>16121.48</v>
      </c>
      <c r="F71" s="211">
        <v>20500</v>
      </c>
      <c r="G71" s="211">
        <v>20500</v>
      </c>
      <c r="H71" s="210">
        <v>10500</v>
      </c>
      <c r="I71" s="211">
        <v>10500</v>
      </c>
      <c r="J71" s="211">
        <v>10500</v>
      </c>
    </row>
    <row r="72" spans="1:10" x14ac:dyDescent="0.2">
      <c r="A72" s="207">
        <v>226</v>
      </c>
      <c r="B72" s="129" t="s">
        <v>207</v>
      </c>
      <c r="C72" s="129"/>
      <c r="D72" s="129"/>
      <c r="E72" s="211">
        <v>10885.08</v>
      </c>
      <c r="F72" s="211">
        <v>15000</v>
      </c>
      <c r="G72" s="211">
        <v>15000</v>
      </c>
      <c r="H72" s="210">
        <v>12500</v>
      </c>
      <c r="I72" s="211">
        <v>12500</v>
      </c>
      <c r="J72" s="211">
        <v>12500</v>
      </c>
    </row>
    <row r="73" spans="1:10" x14ac:dyDescent="0.2">
      <c r="A73" s="207">
        <v>228</v>
      </c>
      <c r="B73" s="129" t="s">
        <v>208</v>
      </c>
      <c r="C73" s="129"/>
      <c r="D73" s="129"/>
      <c r="E73" s="211">
        <v>5894.75</v>
      </c>
      <c r="F73" s="211">
        <v>6000</v>
      </c>
      <c r="G73" s="211">
        <v>6000</v>
      </c>
      <c r="H73" s="210">
        <v>6000</v>
      </c>
      <c r="I73" s="211">
        <v>6000</v>
      </c>
      <c r="J73" s="211">
        <v>6000</v>
      </c>
    </row>
    <row r="74" spans="1:10" x14ac:dyDescent="0.2">
      <c r="A74" s="207">
        <v>229</v>
      </c>
      <c r="B74" s="129" t="s">
        <v>209</v>
      </c>
      <c r="C74" s="129"/>
      <c r="D74" s="129"/>
      <c r="E74" s="211">
        <v>10000</v>
      </c>
      <c r="F74" s="211">
        <v>10000</v>
      </c>
      <c r="G74" s="211">
        <v>10000</v>
      </c>
      <c r="H74" s="210">
        <v>10000</v>
      </c>
      <c r="I74" s="211">
        <v>10000</v>
      </c>
      <c r="J74" s="211">
        <v>10000</v>
      </c>
    </row>
    <row r="75" spans="1:10" x14ac:dyDescent="0.2">
      <c r="A75" s="207">
        <v>232</v>
      </c>
      <c r="B75" s="129" t="s">
        <v>211</v>
      </c>
      <c r="C75" s="129"/>
      <c r="D75" s="129"/>
      <c r="E75" s="211">
        <v>2075.9499999999998</v>
      </c>
      <c r="F75" s="211">
        <v>2500</v>
      </c>
      <c r="G75" s="211">
        <v>2500</v>
      </c>
      <c r="H75" s="210">
        <v>2500</v>
      </c>
      <c r="I75" s="211">
        <v>2500</v>
      </c>
      <c r="J75" s="211">
        <v>2500</v>
      </c>
    </row>
    <row r="76" spans="1:10" x14ac:dyDescent="0.2">
      <c r="A76" s="207">
        <v>234</v>
      </c>
      <c r="B76" s="129" t="s">
        <v>212</v>
      </c>
      <c r="C76" s="129"/>
      <c r="D76" s="129"/>
      <c r="E76" s="211">
        <v>70128</v>
      </c>
      <c r="F76" s="211">
        <v>77800</v>
      </c>
      <c r="G76" s="211">
        <v>77800</v>
      </c>
      <c r="H76" s="210">
        <v>77800</v>
      </c>
      <c r="I76" s="211">
        <v>77800</v>
      </c>
      <c r="J76" s="211">
        <v>77800</v>
      </c>
    </row>
    <row r="77" spans="1:10" x14ac:dyDescent="0.2">
      <c r="A77" s="207">
        <v>236</v>
      </c>
      <c r="B77" s="129" t="s">
        <v>213</v>
      </c>
      <c r="C77" s="129"/>
      <c r="D77" s="129"/>
      <c r="E77" s="211">
        <v>24490.080000000002</v>
      </c>
      <c r="F77" s="211">
        <v>35000</v>
      </c>
      <c r="G77" s="211">
        <v>35000</v>
      </c>
      <c r="H77" s="210">
        <v>25000</v>
      </c>
      <c r="I77" s="211">
        <v>25000</v>
      </c>
      <c r="J77" s="211">
        <v>25000</v>
      </c>
    </row>
    <row r="78" spans="1:10" x14ac:dyDescent="0.2">
      <c r="A78" s="207">
        <v>244</v>
      </c>
      <c r="B78" s="129" t="s">
        <v>217</v>
      </c>
      <c r="C78" s="129"/>
      <c r="D78" s="129"/>
      <c r="E78" s="211">
        <v>6676.5</v>
      </c>
      <c r="F78" s="211">
        <v>10000</v>
      </c>
      <c r="G78" s="211">
        <v>10000</v>
      </c>
      <c r="H78" s="210">
        <v>5000</v>
      </c>
      <c r="I78" s="211">
        <v>5000</v>
      </c>
      <c r="J78" s="211">
        <v>5000</v>
      </c>
    </row>
    <row r="79" spans="1:10" x14ac:dyDescent="0.2">
      <c r="A79" s="207">
        <v>246</v>
      </c>
      <c r="B79" s="129" t="s">
        <v>218</v>
      </c>
      <c r="C79" s="129"/>
      <c r="D79" s="129"/>
      <c r="E79" s="211">
        <v>8913.25</v>
      </c>
      <c r="F79" s="211">
        <v>30000</v>
      </c>
      <c r="G79" s="211">
        <v>30000</v>
      </c>
      <c r="H79" s="210">
        <v>15000</v>
      </c>
      <c r="I79" s="211">
        <v>15000</v>
      </c>
      <c r="J79" s="211">
        <v>15000</v>
      </c>
    </row>
    <row r="80" spans="1:10" x14ac:dyDescent="0.2">
      <c r="A80" s="207">
        <v>260</v>
      </c>
      <c r="B80" s="129" t="s">
        <v>513</v>
      </c>
      <c r="C80" s="129"/>
      <c r="D80" s="129"/>
      <c r="E80" s="211">
        <v>58600</v>
      </c>
      <c r="F80" s="211">
        <v>58600</v>
      </c>
      <c r="G80" s="211">
        <v>58600</v>
      </c>
      <c r="H80" s="210">
        <f>58600+600</f>
        <v>59200</v>
      </c>
      <c r="I80" s="211">
        <f t="shared" ref="I80:J80" si="22">58600+600</f>
        <v>59200</v>
      </c>
      <c r="J80" s="211">
        <f t="shared" si="22"/>
        <v>59200</v>
      </c>
    </row>
    <row r="81" spans="1:10" x14ac:dyDescent="0.2">
      <c r="A81" s="207">
        <v>275</v>
      </c>
      <c r="B81" s="129" t="s">
        <v>228</v>
      </c>
      <c r="C81" s="129"/>
      <c r="D81" s="129"/>
      <c r="E81" s="211">
        <v>1488.05</v>
      </c>
      <c r="F81" s="211">
        <v>1500</v>
      </c>
      <c r="G81" s="211">
        <v>1500</v>
      </c>
      <c r="H81" s="210">
        <v>1500</v>
      </c>
      <c r="I81" s="211">
        <v>1500</v>
      </c>
      <c r="J81" s="211">
        <v>1500</v>
      </c>
    </row>
    <row r="82" spans="1:10" x14ac:dyDescent="0.2">
      <c r="A82" s="156" t="s">
        <v>298</v>
      </c>
      <c r="B82" s="156"/>
      <c r="C82" s="156"/>
      <c r="D82" s="156"/>
      <c r="E82" s="157">
        <f t="shared" ref="E82:J82" si="23">SUM(E70:E81)</f>
        <v>219049.65999999997</v>
      </c>
      <c r="F82" s="157">
        <f t="shared" si="23"/>
        <v>272900</v>
      </c>
      <c r="G82" s="157">
        <f t="shared" si="23"/>
        <v>272900</v>
      </c>
      <c r="H82" s="157">
        <f t="shared" si="23"/>
        <v>231000</v>
      </c>
      <c r="I82" s="157">
        <f t="shared" si="23"/>
        <v>231000</v>
      </c>
      <c r="J82" s="157">
        <f t="shared" si="23"/>
        <v>231000</v>
      </c>
    </row>
    <row r="83" spans="1:10" x14ac:dyDescent="0.2">
      <c r="A83" s="159" t="s">
        <v>299</v>
      </c>
      <c r="B83" s="159"/>
      <c r="C83" s="159"/>
      <c r="D83" s="159"/>
      <c r="E83" s="160">
        <f t="shared" ref="E83:J83" si="24">SUM(E68,E82)</f>
        <v>832936.37999999989</v>
      </c>
      <c r="F83" s="160">
        <f t="shared" si="24"/>
        <v>1006200</v>
      </c>
      <c r="G83" s="160">
        <f t="shared" si="24"/>
        <v>1006200</v>
      </c>
      <c r="H83" s="160">
        <f t="shared" si="24"/>
        <v>1022600</v>
      </c>
      <c r="I83" s="160">
        <f t="shared" si="24"/>
        <v>1026700</v>
      </c>
      <c r="J83" s="160">
        <f t="shared" si="24"/>
        <v>1029200</v>
      </c>
    </row>
    <row r="84" spans="1:10" ht="8.25" customHeight="1" x14ac:dyDescent="0.2">
      <c r="A84" s="289"/>
      <c r="B84" s="289"/>
      <c r="C84" s="289"/>
      <c r="D84" s="289"/>
      <c r="E84" s="289"/>
      <c r="F84" s="289"/>
      <c r="G84" s="289"/>
      <c r="H84" s="289"/>
      <c r="I84" s="289"/>
      <c r="J84" s="289"/>
    </row>
    <row r="85" spans="1:10" x14ac:dyDescent="0.2">
      <c r="A85" s="162" t="s">
        <v>15</v>
      </c>
      <c r="B85" s="162"/>
      <c r="C85" s="162"/>
      <c r="D85" s="162"/>
      <c r="E85" s="162"/>
      <c r="F85" s="162"/>
      <c r="G85" s="162"/>
      <c r="H85" s="162"/>
      <c r="I85" s="162"/>
      <c r="J85" s="162"/>
    </row>
    <row r="86" spans="1:10" ht="18" customHeight="1" x14ac:dyDescent="0.2">
      <c r="A86" s="131" t="s">
        <v>242</v>
      </c>
      <c r="B86" s="131"/>
      <c r="C86" s="131"/>
      <c r="D86" s="131"/>
      <c r="E86" s="128" t="str">
        <f t="shared" ref="E86:J86" si="25">E19</f>
        <v>Actuals           2014-2015</v>
      </c>
      <c r="F86" s="128" t="str">
        <f t="shared" si="25"/>
        <v>Approved Estimates          2015-2016</v>
      </c>
      <c r="G86" s="128" t="str">
        <f t="shared" si="25"/>
        <v>Revised Estimates                 2015-2016</v>
      </c>
      <c r="H86" s="128" t="str">
        <f t="shared" si="25"/>
        <v>Budget Estimates      2016-2017</v>
      </c>
      <c r="I86" s="128" t="str">
        <f t="shared" si="25"/>
        <v>Forward Estimates     2017-2018</v>
      </c>
      <c r="J86" s="128" t="str">
        <f t="shared" si="25"/>
        <v>Forward Estimates     2018-2019</v>
      </c>
    </row>
    <row r="87" spans="1:10" x14ac:dyDescent="0.2">
      <c r="A87" s="130" t="s">
        <v>243</v>
      </c>
      <c r="B87" s="130" t="s">
        <v>244</v>
      </c>
      <c r="C87" s="131" t="s">
        <v>245</v>
      </c>
      <c r="D87" s="131"/>
      <c r="E87" s="101"/>
      <c r="F87" s="101"/>
      <c r="G87" s="101"/>
      <c r="H87" s="101"/>
      <c r="I87" s="101"/>
      <c r="J87" s="101"/>
    </row>
    <row r="88" spans="1:10" x14ac:dyDescent="0.2">
      <c r="A88" s="163"/>
      <c r="B88" s="163"/>
      <c r="C88" s="156"/>
      <c r="D88" s="156"/>
      <c r="E88" s="158"/>
      <c r="F88" s="209"/>
      <c r="G88" s="158"/>
      <c r="H88" s="136"/>
      <c r="I88" s="158"/>
      <c r="J88" s="135"/>
    </row>
    <row r="89" spans="1:10" x14ac:dyDescent="0.2">
      <c r="A89" s="137" t="s">
        <v>15</v>
      </c>
      <c r="B89" s="137"/>
      <c r="C89" s="137"/>
      <c r="D89" s="137"/>
      <c r="E89" s="164">
        <v>0</v>
      </c>
      <c r="F89" s="164">
        <v>0</v>
      </c>
      <c r="G89" s="164">
        <v>0</v>
      </c>
      <c r="H89" s="164">
        <v>0</v>
      </c>
      <c r="I89" s="164">
        <v>0</v>
      </c>
      <c r="J89" s="164">
        <v>0</v>
      </c>
    </row>
    <row r="90" spans="1:10" ht="6.75" customHeight="1" x14ac:dyDescent="0.2">
      <c r="A90" s="134"/>
      <c r="B90" s="134"/>
      <c r="C90" s="134"/>
      <c r="D90" s="134"/>
      <c r="E90" s="134"/>
      <c r="F90" s="134"/>
      <c r="G90" s="134"/>
      <c r="H90" s="134"/>
      <c r="I90" s="134"/>
      <c r="J90" s="190"/>
    </row>
    <row r="91" spans="1:10" ht="12" customHeight="1" x14ac:dyDescent="0.2">
      <c r="A91" s="161" t="s">
        <v>288</v>
      </c>
      <c r="B91" s="161"/>
      <c r="C91" s="161"/>
      <c r="D91" s="161"/>
      <c r="E91" s="161"/>
      <c r="F91" s="202"/>
      <c r="G91" s="202"/>
      <c r="H91" s="202"/>
      <c r="I91" s="202"/>
      <c r="J91" s="311"/>
    </row>
    <row r="92" spans="1:10" x14ac:dyDescent="0.2">
      <c r="A92" s="131" t="s">
        <v>300</v>
      </c>
      <c r="B92" s="131"/>
      <c r="C92" s="131"/>
      <c r="D92" s="132" t="s">
        <v>301</v>
      </c>
      <c r="E92" s="291" t="s">
        <v>302</v>
      </c>
      <c r="F92" s="292"/>
      <c r="G92" s="220"/>
      <c r="H92" s="220"/>
      <c r="I92" s="220"/>
      <c r="J92" s="221"/>
    </row>
    <row r="93" spans="1:10" ht="15" customHeight="1" x14ac:dyDescent="0.2">
      <c r="A93" s="134" t="str">
        <f>Establishment!D59</f>
        <v>Clerk of Assembly/Director</v>
      </c>
      <c r="B93" s="134"/>
      <c r="C93" s="134"/>
      <c r="D93" s="133" t="str">
        <f>Establishment!E59</f>
        <v>R7</v>
      </c>
      <c r="E93" s="268">
        <f>Establishment!C59</f>
        <v>1</v>
      </c>
      <c r="F93" s="293"/>
      <c r="G93" s="171"/>
      <c r="H93" s="171"/>
      <c r="I93" s="171"/>
      <c r="J93" s="174"/>
    </row>
    <row r="94" spans="1:10" ht="15" customHeight="1" x14ac:dyDescent="0.2">
      <c r="A94" s="134" t="str">
        <f>Establishment!D60</f>
        <v>Executive Officer</v>
      </c>
      <c r="B94" s="134"/>
      <c r="C94" s="134"/>
      <c r="D94" s="133" t="str">
        <f>Establishment!E60</f>
        <v>R28-22</v>
      </c>
      <c r="E94" s="268">
        <f>Establishment!C60</f>
        <v>1</v>
      </c>
      <c r="F94" s="293"/>
      <c r="G94" s="171"/>
      <c r="H94" s="171"/>
      <c r="I94" s="171"/>
      <c r="J94" s="174"/>
    </row>
    <row r="95" spans="1:10" ht="15" customHeight="1" x14ac:dyDescent="0.2">
      <c r="A95" s="134" t="str">
        <f>Establishment!D61</f>
        <v>Clerical Officer (Snr)</v>
      </c>
      <c r="B95" s="134"/>
      <c r="C95" s="134"/>
      <c r="D95" s="133" t="str">
        <f>Establishment!E61</f>
        <v>R33-29</v>
      </c>
      <c r="E95" s="268">
        <f>Establishment!C61</f>
        <v>1</v>
      </c>
      <c r="F95" s="293"/>
      <c r="G95" s="171"/>
      <c r="H95" s="171"/>
      <c r="I95" s="171"/>
      <c r="J95" s="174"/>
    </row>
    <row r="96" spans="1:10" ht="15" customHeight="1" x14ac:dyDescent="0.2">
      <c r="A96" s="134" t="str">
        <f>Establishment!D62</f>
        <v xml:space="preserve">Clerical Officer </v>
      </c>
      <c r="B96" s="134"/>
      <c r="C96" s="134"/>
      <c r="D96" s="133" t="str">
        <f>Establishment!E62</f>
        <v>R46-34</v>
      </c>
      <c r="E96" s="268">
        <f>Establishment!C62</f>
        <v>1</v>
      </c>
      <c r="F96" s="293"/>
      <c r="G96" s="171"/>
      <c r="H96" s="171"/>
      <c r="I96" s="171"/>
      <c r="J96" s="174"/>
    </row>
    <row r="97" spans="1:10" x14ac:dyDescent="0.2">
      <c r="A97" s="159" t="s">
        <v>303</v>
      </c>
      <c r="B97" s="159"/>
      <c r="C97" s="159"/>
      <c r="D97" s="159"/>
      <c r="E97" s="294">
        <f>SUM(E93:E96)</f>
        <v>4</v>
      </c>
      <c r="F97" s="295"/>
      <c r="G97" s="177"/>
      <c r="H97" s="177"/>
      <c r="I97" s="177"/>
      <c r="J97" s="178"/>
    </row>
    <row r="98" spans="1:10" x14ac:dyDescent="0.2">
      <c r="A98" s="129"/>
      <c r="B98" s="129"/>
      <c r="C98" s="129"/>
      <c r="D98" s="129"/>
      <c r="E98" s="129"/>
      <c r="F98" s="179"/>
      <c r="G98" s="179"/>
      <c r="H98" s="179"/>
      <c r="I98" s="179"/>
      <c r="J98" s="179"/>
    </row>
    <row r="99" spans="1:10" x14ac:dyDescent="0.2">
      <c r="A99" s="180" t="s">
        <v>304</v>
      </c>
      <c r="B99" s="180"/>
      <c r="C99" s="180"/>
      <c r="D99" s="180"/>
      <c r="E99" s="180"/>
      <c r="F99" s="180"/>
      <c r="G99" s="180"/>
      <c r="H99" s="180"/>
      <c r="I99" s="180"/>
      <c r="J99" s="180"/>
    </row>
    <row r="100" spans="1:10" x14ac:dyDescent="0.2">
      <c r="A100" s="181" t="s">
        <v>305</v>
      </c>
      <c r="B100" s="181"/>
      <c r="C100" s="181"/>
      <c r="D100" s="181"/>
      <c r="E100" s="181"/>
      <c r="F100" s="181"/>
      <c r="G100" s="181"/>
      <c r="H100" s="181"/>
      <c r="I100" s="181"/>
      <c r="J100" s="181"/>
    </row>
    <row r="101" spans="1:10" x14ac:dyDescent="0.2">
      <c r="A101" s="129" t="s">
        <v>514</v>
      </c>
      <c r="B101" s="310"/>
      <c r="C101" s="310"/>
      <c r="D101" s="310"/>
      <c r="E101" s="310"/>
      <c r="F101" s="310"/>
      <c r="G101" s="310"/>
      <c r="H101" s="310"/>
      <c r="I101" s="310"/>
      <c r="J101" s="310"/>
    </row>
    <row r="102" spans="1:10" x14ac:dyDescent="0.2">
      <c r="A102" s="129" t="s">
        <v>515</v>
      </c>
      <c r="B102" s="310"/>
      <c r="C102" s="310"/>
      <c r="D102" s="310"/>
      <c r="E102" s="310"/>
      <c r="F102" s="310"/>
      <c r="G102" s="310"/>
      <c r="H102" s="310"/>
      <c r="I102" s="310"/>
      <c r="J102" s="310"/>
    </row>
    <row r="103" spans="1:10" ht="26.25" customHeight="1" x14ac:dyDescent="0.2">
      <c r="A103" s="129" t="s">
        <v>516</v>
      </c>
      <c r="B103" s="310"/>
      <c r="C103" s="310"/>
      <c r="D103" s="310"/>
      <c r="E103" s="310"/>
      <c r="F103" s="310"/>
      <c r="G103" s="310"/>
      <c r="H103" s="310"/>
      <c r="I103" s="310"/>
      <c r="J103" s="310"/>
    </row>
    <row r="104" spans="1:10" ht="26.25" customHeight="1" x14ac:dyDescent="0.2">
      <c r="A104" s="129" t="s">
        <v>517</v>
      </c>
      <c r="B104" s="312"/>
      <c r="C104" s="312"/>
      <c r="D104" s="312"/>
      <c r="E104" s="312"/>
      <c r="F104" s="312"/>
      <c r="G104" s="312"/>
      <c r="H104" s="312"/>
      <c r="I104" s="312"/>
      <c r="J104" s="312"/>
    </row>
    <row r="105" spans="1:10" x14ac:dyDescent="0.2">
      <c r="A105" s="129"/>
      <c r="B105" s="129"/>
      <c r="C105" s="129"/>
      <c r="D105" s="129"/>
      <c r="E105" s="129"/>
      <c r="F105" s="129"/>
      <c r="G105" s="129"/>
      <c r="H105" s="129"/>
      <c r="I105" s="129"/>
      <c r="J105" s="129"/>
    </row>
    <row r="106" spans="1:10" x14ac:dyDescent="0.2">
      <c r="A106" s="183" t="s">
        <v>415</v>
      </c>
      <c r="B106" s="183"/>
      <c r="C106" s="183"/>
      <c r="D106" s="183"/>
      <c r="E106" s="183"/>
      <c r="F106" s="183"/>
      <c r="G106" s="183"/>
      <c r="H106" s="183"/>
      <c r="I106" s="183"/>
      <c r="J106" s="183"/>
    </row>
    <row r="107" spans="1:10" x14ac:dyDescent="0.2">
      <c r="A107" s="182" t="s">
        <v>518</v>
      </c>
      <c r="B107" s="312"/>
      <c r="C107" s="312"/>
      <c r="D107" s="312"/>
      <c r="E107" s="312"/>
      <c r="F107" s="312"/>
      <c r="G107" s="312"/>
      <c r="H107" s="312"/>
      <c r="I107" s="312"/>
      <c r="J107" s="312"/>
    </row>
    <row r="108" spans="1:10" x14ac:dyDescent="0.2">
      <c r="A108" s="129" t="s">
        <v>519</v>
      </c>
      <c r="B108" s="310"/>
      <c r="C108" s="310"/>
      <c r="D108" s="310"/>
      <c r="E108" s="310"/>
      <c r="F108" s="310"/>
      <c r="G108" s="310"/>
      <c r="H108" s="310"/>
      <c r="I108" s="310"/>
      <c r="J108" s="310"/>
    </row>
    <row r="109" spans="1:10" x14ac:dyDescent="0.2">
      <c r="A109" s="129"/>
      <c r="B109" s="129"/>
      <c r="C109" s="129"/>
      <c r="D109" s="129"/>
      <c r="E109" s="129"/>
      <c r="F109" s="129"/>
      <c r="G109" s="129"/>
      <c r="H109" s="129"/>
      <c r="I109" s="129"/>
      <c r="J109" s="129"/>
    </row>
    <row r="110" spans="1:10" ht="22.5" x14ac:dyDescent="0.2">
      <c r="A110" s="180" t="s">
        <v>315</v>
      </c>
      <c r="B110" s="180"/>
      <c r="C110" s="180"/>
      <c r="D110" s="180"/>
      <c r="E110" s="180"/>
      <c r="F110" s="184" t="s">
        <v>2995</v>
      </c>
      <c r="G110" s="184" t="s">
        <v>2996</v>
      </c>
      <c r="H110" s="184" t="s">
        <v>2997</v>
      </c>
      <c r="I110" s="184" t="s">
        <v>2998</v>
      </c>
      <c r="J110" s="184" t="s">
        <v>2999</v>
      </c>
    </row>
    <row r="111" spans="1:10" x14ac:dyDescent="0.2">
      <c r="A111" s="180" t="s">
        <v>316</v>
      </c>
      <c r="B111" s="180"/>
      <c r="C111" s="180"/>
      <c r="D111" s="180"/>
      <c r="E111" s="180"/>
      <c r="F111" s="180"/>
      <c r="G111" s="180"/>
      <c r="H111" s="180"/>
      <c r="I111" s="180"/>
      <c r="J111" s="180"/>
    </row>
    <row r="112" spans="1:10" x14ac:dyDescent="0.2">
      <c r="A112" s="188" t="s">
        <v>520</v>
      </c>
      <c r="B112" s="188"/>
      <c r="C112" s="188"/>
      <c r="D112" s="188"/>
      <c r="E112" s="188"/>
      <c r="F112" s="272">
        <v>0</v>
      </c>
      <c r="G112" s="191">
        <v>2</v>
      </c>
      <c r="H112" s="191">
        <v>5</v>
      </c>
      <c r="I112" s="191">
        <v>5</v>
      </c>
      <c r="J112" s="191">
        <v>5</v>
      </c>
    </row>
    <row r="113" spans="1:10" x14ac:dyDescent="0.2">
      <c r="A113" s="188" t="s">
        <v>521</v>
      </c>
      <c r="B113" s="188"/>
      <c r="C113" s="188"/>
      <c r="D113" s="188"/>
      <c r="E113" s="188"/>
      <c r="F113" s="272">
        <v>8</v>
      </c>
      <c r="G113" s="191">
        <v>12</v>
      </c>
      <c r="H113" s="191">
        <v>12</v>
      </c>
      <c r="I113" s="191">
        <v>12</v>
      </c>
      <c r="J113" s="191">
        <v>12</v>
      </c>
    </row>
    <row r="114" spans="1:10" x14ac:dyDescent="0.2">
      <c r="A114" s="188" t="s">
        <v>522</v>
      </c>
      <c r="B114" s="188"/>
      <c r="C114" s="188"/>
      <c r="D114" s="188"/>
      <c r="E114" s="188"/>
      <c r="F114" s="272">
        <v>0</v>
      </c>
      <c r="G114" s="191" t="s">
        <v>523</v>
      </c>
      <c r="H114" s="191">
        <v>2</v>
      </c>
      <c r="I114" s="191" t="s">
        <v>524</v>
      </c>
      <c r="J114" s="191" t="s">
        <v>524</v>
      </c>
    </row>
    <row r="115" spans="1:10" x14ac:dyDescent="0.2">
      <c r="A115" s="188"/>
      <c r="B115" s="188"/>
      <c r="C115" s="188"/>
      <c r="D115" s="188"/>
      <c r="E115" s="188"/>
      <c r="F115" s="273"/>
      <c r="G115" s="190"/>
      <c r="H115" s="190"/>
      <c r="I115" s="190"/>
      <c r="J115" s="190"/>
    </row>
    <row r="116" spans="1:10" ht="26.25" customHeight="1" x14ac:dyDescent="0.2">
      <c r="A116" s="180" t="s">
        <v>324</v>
      </c>
      <c r="B116" s="180"/>
      <c r="C116" s="180"/>
      <c r="D116" s="180"/>
      <c r="E116" s="180"/>
      <c r="F116" s="180"/>
      <c r="G116" s="180"/>
      <c r="H116" s="180"/>
      <c r="I116" s="180"/>
      <c r="J116" s="180"/>
    </row>
    <row r="117" spans="1:10" x14ac:dyDescent="0.2">
      <c r="A117" s="188" t="s">
        <v>525</v>
      </c>
      <c r="B117" s="188"/>
      <c r="C117" s="188"/>
      <c r="D117" s="188"/>
      <c r="E117" s="188"/>
      <c r="F117" s="272">
        <v>0</v>
      </c>
      <c r="G117" s="191">
        <v>300</v>
      </c>
      <c r="H117" s="191">
        <v>400</v>
      </c>
      <c r="I117" s="191">
        <v>400</v>
      </c>
      <c r="J117" s="191">
        <v>400</v>
      </c>
    </row>
    <row r="118" spans="1:10" x14ac:dyDescent="0.2">
      <c r="A118" s="188" t="s">
        <v>526</v>
      </c>
      <c r="B118" s="188"/>
      <c r="C118" s="188"/>
      <c r="D118" s="188"/>
      <c r="E118" s="188"/>
      <c r="F118" s="272">
        <v>0</v>
      </c>
      <c r="G118" s="191">
        <v>0</v>
      </c>
      <c r="H118" s="191">
        <v>200</v>
      </c>
      <c r="I118" s="191">
        <v>200</v>
      </c>
      <c r="J118" s="191">
        <v>200</v>
      </c>
    </row>
    <row r="119" spans="1:10" x14ac:dyDescent="0.2">
      <c r="A119" s="129"/>
      <c r="B119" s="129"/>
      <c r="C119" s="129"/>
      <c r="D119" s="129"/>
      <c r="E119" s="129"/>
      <c r="F119" s="129"/>
      <c r="G119" s="129"/>
      <c r="H119" s="129"/>
      <c r="I119" s="129"/>
      <c r="J119" s="129"/>
    </row>
    <row r="120" spans="1:10" x14ac:dyDescent="0.2">
      <c r="A120" s="150" t="s">
        <v>527</v>
      </c>
      <c r="B120" s="150"/>
      <c r="C120" s="150"/>
      <c r="D120" s="150"/>
      <c r="E120" s="150"/>
      <c r="F120" s="150"/>
      <c r="G120" s="150"/>
      <c r="H120" s="150"/>
      <c r="I120" s="150"/>
      <c r="J120" s="150"/>
    </row>
    <row r="121" spans="1:10" x14ac:dyDescent="0.2">
      <c r="A121" s="151" t="s">
        <v>291</v>
      </c>
      <c r="B121" s="151"/>
      <c r="C121" s="151"/>
      <c r="D121" s="101"/>
      <c r="E121" s="101"/>
      <c r="F121" s="101"/>
      <c r="G121" s="101"/>
      <c r="H121" s="101"/>
      <c r="I121" s="101"/>
      <c r="J121" s="101"/>
    </row>
    <row r="122" spans="1:10" ht="27.75" customHeight="1" x14ac:dyDescent="0.2">
      <c r="A122" s="205" t="s">
        <v>528</v>
      </c>
      <c r="B122" s="205"/>
      <c r="C122" s="205"/>
      <c r="D122" s="205"/>
      <c r="E122" s="205"/>
      <c r="F122" s="205"/>
      <c r="G122" s="205"/>
      <c r="H122" s="205"/>
      <c r="I122" s="205"/>
      <c r="J122" s="205"/>
    </row>
    <row r="123" spans="1:10" x14ac:dyDescent="0.2">
      <c r="A123" s="128" t="s">
        <v>293</v>
      </c>
      <c r="B123" s="128"/>
      <c r="C123" s="128"/>
      <c r="D123" s="128"/>
      <c r="E123" s="128"/>
      <c r="F123" s="128"/>
      <c r="G123" s="128"/>
      <c r="H123" s="128"/>
      <c r="I123" s="128"/>
      <c r="J123" s="128"/>
    </row>
    <row r="124" spans="1:10" ht="33.75" x14ac:dyDescent="0.2">
      <c r="A124" s="152" t="s">
        <v>243</v>
      </c>
      <c r="B124" s="151" t="s">
        <v>242</v>
      </c>
      <c r="C124" s="151"/>
      <c r="D124" s="151"/>
      <c r="E124" s="132" t="str">
        <f t="shared" ref="E124:J124" si="26">E19</f>
        <v>Actuals           2014-2015</v>
      </c>
      <c r="F124" s="132" t="str">
        <f t="shared" si="26"/>
        <v>Approved Estimates          2015-2016</v>
      </c>
      <c r="G124" s="132" t="str">
        <f t="shared" si="26"/>
        <v>Revised Estimates                 2015-2016</v>
      </c>
      <c r="H124" s="132" t="str">
        <f t="shared" si="26"/>
        <v>Budget Estimates      2016-2017</v>
      </c>
      <c r="I124" s="132" t="str">
        <f t="shared" si="26"/>
        <v>Forward Estimates     2017-2018</v>
      </c>
      <c r="J124" s="132" t="str">
        <f t="shared" si="26"/>
        <v>Forward Estimates     2018-2019</v>
      </c>
    </row>
    <row r="125" spans="1:10" x14ac:dyDescent="0.2">
      <c r="A125" s="207"/>
      <c r="B125" s="129"/>
      <c r="C125" s="129"/>
      <c r="D125" s="129"/>
      <c r="E125" s="211"/>
      <c r="F125" s="209"/>
      <c r="G125" s="211"/>
      <c r="H125" s="210"/>
      <c r="I125" s="211"/>
      <c r="J125" s="211"/>
    </row>
    <row r="126" spans="1:10" x14ac:dyDescent="0.2">
      <c r="A126" s="137" t="s">
        <v>508</v>
      </c>
      <c r="B126" s="137"/>
      <c r="C126" s="137"/>
      <c r="D126" s="137"/>
      <c r="E126" s="138">
        <f t="shared" ref="E126:J126" si="27">SUM(E125:E125)</f>
        <v>0</v>
      </c>
      <c r="F126" s="138">
        <f t="shared" si="27"/>
        <v>0</v>
      </c>
      <c r="G126" s="138">
        <f t="shared" si="27"/>
        <v>0</v>
      </c>
      <c r="H126" s="138">
        <f t="shared" si="27"/>
        <v>0</v>
      </c>
      <c r="I126" s="138">
        <f t="shared" si="27"/>
        <v>0</v>
      </c>
      <c r="J126" s="138">
        <f t="shared" si="27"/>
        <v>0</v>
      </c>
    </row>
    <row r="127" spans="1:10" x14ac:dyDescent="0.2">
      <c r="A127" s="129"/>
      <c r="B127" s="129"/>
      <c r="C127" s="129"/>
      <c r="D127" s="129"/>
      <c r="E127" s="129"/>
      <c r="F127" s="129"/>
      <c r="G127" s="129"/>
      <c r="H127" s="129"/>
      <c r="I127" s="129"/>
      <c r="J127" s="129"/>
    </row>
    <row r="128" spans="1:10" x14ac:dyDescent="0.2">
      <c r="A128" s="128" t="s">
        <v>284</v>
      </c>
      <c r="B128" s="128"/>
      <c r="C128" s="128"/>
      <c r="D128" s="128"/>
      <c r="E128" s="128"/>
      <c r="F128" s="128"/>
      <c r="G128" s="128"/>
      <c r="H128" s="128"/>
      <c r="I128" s="128"/>
      <c r="J128" s="128"/>
    </row>
    <row r="129" spans="1:10" ht="33.75" x14ac:dyDescent="0.2">
      <c r="A129" s="152" t="s">
        <v>243</v>
      </c>
      <c r="B129" s="151" t="s">
        <v>242</v>
      </c>
      <c r="C129" s="151"/>
      <c r="D129" s="151"/>
      <c r="E129" s="132" t="str">
        <f t="shared" ref="E129:J129" si="28">E19</f>
        <v>Actuals           2014-2015</v>
      </c>
      <c r="F129" s="132" t="str">
        <f t="shared" si="28"/>
        <v>Approved Estimates          2015-2016</v>
      </c>
      <c r="G129" s="132" t="str">
        <f t="shared" si="28"/>
        <v>Revised Estimates                 2015-2016</v>
      </c>
      <c r="H129" s="132" t="str">
        <f t="shared" si="28"/>
        <v>Budget Estimates      2016-2017</v>
      </c>
      <c r="I129" s="132" t="str">
        <f t="shared" si="28"/>
        <v>Forward Estimates     2017-2018</v>
      </c>
      <c r="J129" s="132" t="str">
        <f t="shared" si="28"/>
        <v>Forward Estimates     2018-2019</v>
      </c>
    </row>
    <row r="130" spans="1:10" x14ac:dyDescent="0.2">
      <c r="A130" s="151" t="s">
        <v>7</v>
      </c>
      <c r="B130" s="151"/>
      <c r="C130" s="151"/>
      <c r="D130" s="151"/>
      <c r="E130" s="151"/>
      <c r="F130" s="151"/>
      <c r="G130" s="151"/>
      <c r="H130" s="151"/>
      <c r="I130" s="151"/>
      <c r="J130" s="190"/>
    </row>
    <row r="131" spans="1:10" x14ac:dyDescent="0.2">
      <c r="A131" s="207">
        <v>210</v>
      </c>
      <c r="B131" s="129" t="s">
        <v>7</v>
      </c>
      <c r="C131" s="129"/>
      <c r="D131" s="129"/>
      <c r="E131" s="211">
        <v>57312</v>
      </c>
      <c r="F131" s="209">
        <v>57400</v>
      </c>
      <c r="G131" s="211">
        <v>57400</v>
      </c>
      <c r="H131" s="210">
        <v>109900</v>
      </c>
      <c r="I131" s="211">
        <v>111500</v>
      </c>
      <c r="J131" s="211">
        <v>113100</v>
      </c>
    </row>
    <row r="132" spans="1:10" x14ac:dyDescent="0.2">
      <c r="A132" s="207">
        <v>212</v>
      </c>
      <c r="B132" s="129" t="s">
        <v>9</v>
      </c>
      <c r="C132" s="129"/>
      <c r="D132" s="129"/>
      <c r="E132" s="211">
        <v>29200</v>
      </c>
      <c r="F132" s="209">
        <v>150000</v>
      </c>
      <c r="G132" s="211">
        <v>150000</v>
      </c>
      <c r="H132" s="210">
        <v>75000</v>
      </c>
      <c r="I132" s="211">
        <v>75000</v>
      </c>
      <c r="J132" s="211">
        <v>75000</v>
      </c>
    </row>
    <row r="133" spans="1:10" x14ac:dyDescent="0.2">
      <c r="A133" s="207">
        <v>216</v>
      </c>
      <c r="B133" s="129" t="s">
        <v>10</v>
      </c>
      <c r="C133" s="129"/>
      <c r="D133" s="129"/>
      <c r="E133" s="211">
        <v>0</v>
      </c>
      <c r="F133" s="209">
        <v>0</v>
      </c>
      <c r="G133" s="211">
        <v>0</v>
      </c>
      <c r="H133" s="210">
        <v>9600</v>
      </c>
      <c r="I133" s="211">
        <v>9600</v>
      </c>
      <c r="J133" s="211">
        <v>9600</v>
      </c>
    </row>
    <row r="134" spans="1:10" x14ac:dyDescent="0.2">
      <c r="A134" s="207">
        <v>218</v>
      </c>
      <c r="B134" s="129" t="s">
        <v>294</v>
      </c>
      <c r="C134" s="129"/>
      <c r="D134" s="129"/>
      <c r="E134" s="211">
        <v>0</v>
      </c>
      <c r="F134" s="209">
        <v>21500</v>
      </c>
      <c r="G134" s="211">
        <v>21500</v>
      </c>
      <c r="H134" s="210">
        <v>0</v>
      </c>
      <c r="I134" s="211">
        <v>7200</v>
      </c>
      <c r="J134" s="211">
        <v>0</v>
      </c>
    </row>
    <row r="135" spans="1:10" x14ac:dyDescent="0.2">
      <c r="A135" s="156" t="s">
        <v>295</v>
      </c>
      <c r="B135" s="156"/>
      <c r="C135" s="156"/>
      <c r="D135" s="156"/>
      <c r="E135" s="157">
        <f t="shared" ref="E135:J135" si="29">SUM(E131:E134)</f>
        <v>86512</v>
      </c>
      <c r="F135" s="157">
        <f t="shared" si="29"/>
        <v>228900</v>
      </c>
      <c r="G135" s="157">
        <f t="shared" si="29"/>
        <v>228900</v>
      </c>
      <c r="H135" s="157">
        <f t="shared" si="29"/>
        <v>194500</v>
      </c>
      <c r="I135" s="157">
        <f t="shared" si="29"/>
        <v>203300</v>
      </c>
      <c r="J135" s="157">
        <f t="shared" si="29"/>
        <v>197700</v>
      </c>
    </row>
    <row r="136" spans="1:10" x14ac:dyDescent="0.2">
      <c r="A136" s="156" t="s">
        <v>296</v>
      </c>
      <c r="B136" s="156"/>
      <c r="C136" s="156"/>
      <c r="D136" s="156"/>
      <c r="E136" s="156"/>
      <c r="F136" s="156"/>
      <c r="G136" s="156"/>
      <c r="H136" s="156"/>
      <c r="I136" s="156"/>
      <c r="J136" s="190"/>
    </row>
    <row r="137" spans="1:10" x14ac:dyDescent="0.2">
      <c r="A137" s="207">
        <v>222</v>
      </c>
      <c r="B137" s="129" t="s">
        <v>205</v>
      </c>
      <c r="C137" s="129"/>
      <c r="D137" s="129"/>
      <c r="E137" s="211">
        <v>10809.28</v>
      </c>
      <c r="F137" s="211">
        <v>30000</v>
      </c>
      <c r="G137" s="211">
        <v>30000</v>
      </c>
      <c r="H137" s="210">
        <v>27500</v>
      </c>
      <c r="I137" s="211">
        <v>27500</v>
      </c>
      <c r="J137" s="211">
        <v>27500</v>
      </c>
    </row>
    <row r="138" spans="1:10" x14ac:dyDescent="0.2">
      <c r="A138" s="207">
        <v>228</v>
      </c>
      <c r="B138" s="129" t="s">
        <v>208</v>
      </c>
      <c r="C138" s="129"/>
      <c r="D138" s="129"/>
      <c r="E138" s="211">
        <v>5955.01</v>
      </c>
      <c r="F138" s="211">
        <v>5000</v>
      </c>
      <c r="G138" s="211">
        <v>5000</v>
      </c>
      <c r="H138" s="210">
        <v>5000</v>
      </c>
      <c r="I138" s="211">
        <v>5000</v>
      </c>
      <c r="J138" s="211">
        <v>5000</v>
      </c>
    </row>
    <row r="139" spans="1:10" x14ac:dyDescent="0.2">
      <c r="A139" s="207">
        <v>229</v>
      </c>
      <c r="B139" s="129" t="s">
        <v>209</v>
      </c>
      <c r="C139" s="129"/>
      <c r="D139" s="129"/>
      <c r="E139" s="211">
        <v>7778.87</v>
      </c>
      <c r="F139" s="211">
        <v>10000</v>
      </c>
      <c r="G139" s="211">
        <v>10000</v>
      </c>
      <c r="H139" s="210">
        <v>10000</v>
      </c>
      <c r="I139" s="211">
        <v>10000</v>
      </c>
      <c r="J139" s="211">
        <v>10000</v>
      </c>
    </row>
    <row r="140" spans="1:10" x14ac:dyDescent="0.2">
      <c r="A140" s="207">
        <v>234</v>
      </c>
      <c r="B140" s="129" t="s">
        <v>212</v>
      </c>
      <c r="C140" s="129"/>
      <c r="D140" s="129"/>
      <c r="E140" s="211">
        <v>6220</v>
      </c>
      <c r="F140" s="211">
        <v>6800</v>
      </c>
      <c r="G140" s="211">
        <v>6800</v>
      </c>
      <c r="H140" s="210">
        <v>6800</v>
      </c>
      <c r="I140" s="211">
        <v>6800</v>
      </c>
      <c r="J140" s="211">
        <v>6800</v>
      </c>
    </row>
    <row r="141" spans="1:10" x14ac:dyDescent="0.2">
      <c r="A141" s="207">
        <v>236</v>
      </c>
      <c r="B141" s="129" t="s">
        <v>213</v>
      </c>
      <c r="C141" s="129"/>
      <c r="D141" s="129"/>
      <c r="E141" s="211">
        <v>209127.91</v>
      </c>
      <c r="F141" s="211">
        <v>12000</v>
      </c>
      <c r="G141" s="211">
        <v>12000</v>
      </c>
      <c r="H141" s="210">
        <v>12000</v>
      </c>
      <c r="I141" s="211">
        <v>12000</v>
      </c>
      <c r="J141" s="211">
        <v>12000</v>
      </c>
    </row>
    <row r="142" spans="1:10" x14ac:dyDescent="0.2">
      <c r="A142" s="207">
        <v>242</v>
      </c>
      <c r="B142" s="129" t="s">
        <v>216</v>
      </c>
      <c r="C142" s="129"/>
      <c r="D142" s="129"/>
      <c r="E142" s="211">
        <v>8713.84</v>
      </c>
      <c r="F142" s="211">
        <v>15000</v>
      </c>
      <c r="G142" s="211">
        <v>15000</v>
      </c>
      <c r="H142" s="210">
        <v>15000</v>
      </c>
      <c r="I142" s="211">
        <v>15000</v>
      </c>
      <c r="J142" s="211">
        <v>15000</v>
      </c>
    </row>
    <row r="143" spans="1:10" x14ac:dyDescent="0.2">
      <c r="A143" s="207">
        <v>244</v>
      </c>
      <c r="B143" s="129" t="s">
        <v>217</v>
      </c>
      <c r="C143" s="129"/>
      <c r="D143" s="129"/>
      <c r="E143" s="211">
        <v>5229</v>
      </c>
      <c r="F143" s="211">
        <v>0</v>
      </c>
      <c r="G143" s="211">
        <v>0</v>
      </c>
      <c r="H143" s="210">
        <v>0</v>
      </c>
      <c r="I143" s="211">
        <v>0</v>
      </c>
      <c r="J143" s="211">
        <v>0</v>
      </c>
    </row>
    <row r="144" spans="1:10" x14ac:dyDescent="0.2">
      <c r="A144" s="207">
        <v>246</v>
      </c>
      <c r="B144" s="129" t="s">
        <v>218</v>
      </c>
      <c r="C144" s="129"/>
      <c r="D144" s="129"/>
      <c r="E144" s="211">
        <v>28900</v>
      </c>
      <c r="F144" s="211">
        <v>7000</v>
      </c>
      <c r="G144" s="211">
        <v>7000</v>
      </c>
      <c r="H144" s="210">
        <v>7000</v>
      </c>
      <c r="I144" s="211">
        <v>7000</v>
      </c>
      <c r="J144" s="211">
        <v>7000</v>
      </c>
    </row>
    <row r="145" spans="1:10" x14ac:dyDescent="0.2">
      <c r="A145" s="207">
        <v>280</v>
      </c>
      <c r="B145" s="129" t="s">
        <v>233</v>
      </c>
      <c r="C145" s="129"/>
      <c r="D145" s="129"/>
      <c r="E145" s="211">
        <v>21000</v>
      </c>
      <c r="F145" s="211">
        <v>5000</v>
      </c>
      <c r="G145" s="211">
        <v>5000</v>
      </c>
      <c r="H145" s="210">
        <v>5000</v>
      </c>
      <c r="I145" s="211">
        <v>5000</v>
      </c>
      <c r="J145" s="211">
        <v>5000</v>
      </c>
    </row>
    <row r="146" spans="1:10" x14ac:dyDescent="0.2">
      <c r="A146" s="156" t="s">
        <v>298</v>
      </c>
      <c r="B146" s="156"/>
      <c r="C146" s="156"/>
      <c r="D146" s="156"/>
      <c r="E146" s="157">
        <f t="shared" ref="E146:J146" si="30">SUM(E137:E145)</f>
        <v>303733.91000000003</v>
      </c>
      <c r="F146" s="157">
        <f t="shared" si="30"/>
        <v>90800</v>
      </c>
      <c r="G146" s="157">
        <f t="shared" si="30"/>
        <v>90800</v>
      </c>
      <c r="H146" s="157">
        <f t="shared" si="30"/>
        <v>88300</v>
      </c>
      <c r="I146" s="157">
        <f t="shared" si="30"/>
        <v>88300</v>
      </c>
      <c r="J146" s="157">
        <f t="shared" si="30"/>
        <v>88300</v>
      </c>
    </row>
    <row r="147" spans="1:10" x14ac:dyDescent="0.2">
      <c r="A147" s="159" t="s">
        <v>299</v>
      </c>
      <c r="B147" s="159"/>
      <c r="C147" s="159"/>
      <c r="D147" s="159"/>
      <c r="E147" s="160">
        <f t="shared" ref="E147:J147" si="31">SUM(E135,E146)</f>
        <v>390245.91000000003</v>
      </c>
      <c r="F147" s="160">
        <f t="shared" si="31"/>
        <v>319700</v>
      </c>
      <c r="G147" s="160">
        <f t="shared" si="31"/>
        <v>319700</v>
      </c>
      <c r="H147" s="160">
        <f t="shared" si="31"/>
        <v>282800</v>
      </c>
      <c r="I147" s="160">
        <f t="shared" si="31"/>
        <v>291600</v>
      </c>
      <c r="J147" s="160">
        <f t="shared" si="31"/>
        <v>286000</v>
      </c>
    </row>
    <row r="148" spans="1:10" x14ac:dyDescent="0.2">
      <c r="A148" s="129"/>
      <c r="B148" s="129"/>
      <c r="C148" s="129"/>
      <c r="D148" s="129"/>
      <c r="E148" s="129"/>
      <c r="F148" s="129"/>
      <c r="G148" s="129"/>
      <c r="H148" s="129"/>
      <c r="I148" s="129"/>
      <c r="J148" s="190"/>
    </row>
    <row r="149" spans="1:10" ht="16.5" customHeight="1" x14ac:dyDescent="0.2">
      <c r="A149" s="162" t="s">
        <v>15</v>
      </c>
      <c r="B149" s="162"/>
      <c r="C149" s="162"/>
      <c r="D149" s="162"/>
      <c r="E149" s="162"/>
      <c r="F149" s="162"/>
      <c r="G149" s="162"/>
      <c r="H149" s="162"/>
      <c r="I149" s="162"/>
      <c r="J149" s="162"/>
    </row>
    <row r="150" spans="1:10" ht="17.25" customHeight="1" x14ac:dyDescent="0.2">
      <c r="A150" s="131" t="s">
        <v>242</v>
      </c>
      <c r="B150" s="131"/>
      <c r="C150" s="131"/>
      <c r="D150" s="131"/>
      <c r="E150" s="128" t="str">
        <f t="shared" ref="E150:J150" si="32">E19</f>
        <v>Actuals           2014-2015</v>
      </c>
      <c r="F150" s="128" t="str">
        <f t="shared" si="32"/>
        <v>Approved Estimates          2015-2016</v>
      </c>
      <c r="G150" s="128" t="str">
        <f t="shared" si="32"/>
        <v>Revised Estimates                 2015-2016</v>
      </c>
      <c r="H150" s="128" t="str">
        <f t="shared" si="32"/>
        <v>Budget Estimates      2016-2017</v>
      </c>
      <c r="I150" s="128" t="str">
        <f t="shared" si="32"/>
        <v>Forward Estimates     2017-2018</v>
      </c>
      <c r="J150" s="128" t="str">
        <f t="shared" si="32"/>
        <v>Forward Estimates     2018-2019</v>
      </c>
    </row>
    <row r="151" spans="1:10" ht="15.75" customHeight="1" x14ac:dyDescent="0.2">
      <c r="A151" s="130" t="s">
        <v>243</v>
      </c>
      <c r="B151" s="130" t="s">
        <v>244</v>
      </c>
      <c r="C151" s="131" t="s">
        <v>245</v>
      </c>
      <c r="D151" s="131"/>
      <c r="E151" s="101"/>
      <c r="F151" s="101"/>
      <c r="G151" s="101"/>
      <c r="H151" s="101"/>
      <c r="I151" s="101"/>
      <c r="J151" s="101"/>
    </row>
    <row r="152" spans="1:10" x14ac:dyDescent="0.2">
      <c r="A152" s="163"/>
      <c r="B152" s="163"/>
      <c r="C152" s="156"/>
      <c r="D152" s="156"/>
      <c r="E152" s="158"/>
      <c r="F152" s="209"/>
      <c r="G152" s="158"/>
      <c r="H152" s="136"/>
      <c r="I152" s="158"/>
      <c r="J152" s="135"/>
    </row>
    <row r="153" spans="1:10" x14ac:dyDescent="0.2">
      <c r="A153" s="163"/>
      <c r="B153" s="163"/>
      <c r="C153" s="156"/>
      <c r="D153" s="156"/>
      <c r="E153" s="158"/>
      <c r="F153" s="209"/>
      <c r="G153" s="158"/>
      <c r="H153" s="136"/>
      <c r="I153" s="158"/>
      <c r="J153" s="135"/>
    </row>
    <row r="154" spans="1:10" x14ac:dyDescent="0.2">
      <c r="A154" s="137" t="s">
        <v>15</v>
      </c>
      <c r="B154" s="137"/>
      <c r="C154" s="137"/>
      <c r="D154" s="137"/>
      <c r="E154" s="138">
        <v>0</v>
      </c>
      <c r="F154" s="138">
        <v>0</v>
      </c>
      <c r="G154" s="138">
        <v>0</v>
      </c>
      <c r="H154" s="138">
        <v>0</v>
      </c>
      <c r="I154" s="138">
        <v>0</v>
      </c>
      <c r="J154" s="138">
        <v>0</v>
      </c>
    </row>
    <row r="155" spans="1:10" x14ac:dyDescent="0.2">
      <c r="A155" s="134"/>
      <c r="B155" s="134"/>
      <c r="C155" s="134"/>
      <c r="D155" s="134"/>
      <c r="E155" s="134"/>
      <c r="F155" s="134"/>
      <c r="G155" s="134"/>
      <c r="H155" s="134"/>
      <c r="I155" s="134"/>
      <c r="J155" s="190"/>
    </row>
    <row r="156" spans="1:10" x14ac:dyDescent="0.2">
      <c r="A156" s="161" t="s">
        <v>288</v>
      </c>
      <c r="B156" s="161"/>
      <c r="C156" s="161"/>
      <c r="D156" s="161"/>
      <c r="E156" s="161"/>
      <c r="F156" s="202"/>
      <c r="G156" s="202"/>
      <c r="H156" s="202"/>
      <c r="I156" s="202"/>
      <c r="J156" s="311"/>
    </row>
    <row r="157" spans="1:10" ht="15" customHeight="1" x14ac:dyDescent="0.2">
      <c r="A157" s="131" t="s">
        <v>300</v>
      </c>
      <c r="B157" s="131"/>
      <c r="C157" s="131"/>
      <c r="D157" s="132" t="s">
        <v>301</v>
      </c>
      <c r="E157" s="291" t="s">
        <v>302</v>
      </c>
      <c r="F157" s="292"/>
      <c r="G157" s="220"/>
      <c r="H157" s="220"/>
      <c r="I157" s="220"/>
      <c r="J157" s="221"/>
    </row>
    <row r="158" spans="1:10" ht="15" customHeight="1" x14ac:dyDescent="0.2">
      <c r="A158" s="134" t="str">
        <f>Establishment!D69</f>
        <v xml:space="preserve">Snr Commissions Analyst </v>
      </c>
      <c r="B158" s="134"/>
      <c r="C158" s="134"/>
      <c r="D158" s="133" t="str">
        <f>Establishment!E69</f>
        <v>R17-13</v>
      </c>
      <c r="E158" s="268">
        <f>Establishment!C69</f>
        <v>1</v>
      </c>
      <c r="F158" s="293"/>
      <c r="G158" s="171"/>
      <c r="H158" s="171"/>
      <c r="I158" s="171"/>
      <c r="J158" s="174"/>
    </row>
    <row r="159" spans="1:10" x14ac:dyDescent="0.2">
      <c r="A159" s="134" t="str">
        <f>Establishment!D70</f>
        <v xml:space="preserve">Commissions Analyst </v>
      </c>
      <c r="B159" s="134"/>
      <c r="C159" s="134"/>
      <c r="D159" s="133" t="str">
        <f>Establishment!E70</f>
        <v>R22-16</v>
      </c>
      <c r="E159" s="268">
        <f>Establishment!C70</f>
        <v>2</v>
      </c>
      <c r="F159" s="293"/>
      <c r="G159" s="171"/>
      <c r="H159" s="171"/>
      <c r="I159" s="171"/>
      <c r="J159" s="174"/>
    </row>
    <row r="160" spans="1:10" x14ac:dyDescent="0.2">
      <c r="A160" s="159" t="s">
        <v>303</v>
      </c>
      <c r="B160" s="159"/>
      <c r="C160" s="159"/>
      <c r="D160" s="159"/>
      <c r="E160" s="294">
        <f>SUM(E158:E159)</f>
        <v>3</v>
      </c>
      <c r="F160" s="295"/>
      <c r="G160" s="177"/>
      <c r="H160" s="177"/>
      <c r="I160" s="177"/>
      <c r="J160" s="178"/>
    </row>
    <row r="161" spans="1:10" x14ac:dyDescent="0.2">
      <c r="A161" s="129"/>
      <c r="B161" s="129"/>
      <c r="C161" s="129"/>
      <c r="D161" s="129"/>
      <c r="E161" s="129"/>
      <c r="F161" s="179"/>
      <c r="G161" s="179"/>
      <c r="H161" s="179"/>
      <c r="I161" s="179"/>
      <c r="J161" s="179"/>
    </row>
    <row r="162" spans="1:10" x14ac:dyDescent="0.2">
      <c r="A162" s="180" t="s">
        <v>304</v>
      </c>
      <c r="B162" s="180"/>
      <c r="C162" s="180"/>
      <c r="D162" s="180"/>
      <c r="E162" s="180"/>
      <c r="F162" s="180"/>
      <c r="G162" s="180"/>
      <c r="H162" s="180"/>
      <c r="I162" s="180"/>
      <c r="J162" s="180"/>
    </row>
    <row r="163" spans="1:10" ht="15.75" customHeight="1" x14ac:dyDescent="0.2">
      <c r="A163" s="181" t="s">
        <v>305</v>
      </c>
      <c r="B163" s="181"/>
      <c r="C163" s="181"/>
      <c r="D163" s="181"/>
      <c r="E163" s="181"/>
      <c r="F163" s="181"/>
      <c r="G163" s="181"/>
      <c r="H163" s="181"/>
      <c r="I163" s="181"/>
      <c r="J163" s="181"/>
    </row>
    <row r="164" spans="1:10" ht="24" customHeight="1" x14ac:dyDescent="0.2">
      <c r="A164" s="129" t="s">
        <v>529</v>
      </c>
      <c r="B164" s="129"/>
      <c r="C164" s="129"/>
      <c r="D164" s="129"/>
      <c r="E164" s="129"/>
      <c r="F164" s="129"/>
      <c r="G164" s="129"/>
      <c r="H164" s="129"/>
      <c r="I164" s="129"/>
      <c r="J164" s="129"/>
    </row>
    <row r="165" spans="1:10" ht="15" customHeight="1" x14ac:dyDescent="0.2">
      <c r="A165" s="129" t="s">
        <v>530</v>
      </c>
      <c r="B165" s="129"/>
      <c r="C165" s="129"/>
      <c r="D165" s="129"/>
      <c r="E165" s="129"/>
      <c r="F165" s="129"/>
      <c r="G165" s="129"/>
      <c r="H165" s="129"/>
      <c r="I165" s="129"/>
      <c r="J165" s="129"/>
    </row>
    <row r="166" spans="1:10" x14ac:dyDescent="0.2">
      <c r="A166" s="129"/>
      <c r="B166" s="129"/>
      <c r="C166" s="129"/>
      <c r="D166" s="129"/>
      <c r="E166" s="129"/>
      <c r="F166" s="129"/>
      <c r="G166" s="129"/>
      <c r="H166" s="129"/>
      <c r="I166" s="129"/>
      <c r="J166" s="129"/>
    </row>
    <row r="167" spans="1:10" ht="15.75" customHeight="1" x14ac:dyDescent="0.2">
      <c r="A167" s="181" t="s">
        <v>415</v>
      </c>
      <c r="B167" s="181"/>
      <c r="C167" s="181"/>
      <c r="D167" s="181"/>
      <c r="E167" s="181"/>
      <c r="F167" s="181"/>
      <c r="G167" s="181"/>
      <c r="H167" s="181"/>
      <c r="I167" s="181"/>
      <c r="J167" s="181"/>
    </row>
    <row r="168" spans="1:10" ht="23.25" customHeight="1" x14ac:dyDescent="0.2">
      <c r="A168" s="129" t="s">
        <v>531</v>
      </c>
      <c r="B168" s="129"/>
      <c r="C168" s="129"/>
      <c r="D168" s="129"/>
      <c r="E168" s="129"/>
      <c r="F168" s="129"/>
      <c r="G168" s="129"/>
      <c r="H168" s="129"/>
      <c r="I168" s="129"/>
      <c r="J168" s="129"/>
    </row>
    <row r="169" spans="1:10" x14ac:dyDescent="0.2">
      <c r="A169" s="129"/>
      <c r="B169" s="129"/>
      <c r="C169" s="129"/>
      <c r="D169" s="129"/>
      <c r="E169" s="129"/>
      <c r="F169" s="129"/>
      <c r="G169" s="129"/>
      <c r="H169" s="129"/>
      <c r="I169" s="129"/>
      <c r="J169" s="129"/>
    </row>
    <row r="170" spans="1:10" x14ac:dyDescent="0.2">
      <c r="A170" s="129"/>
      <c r="B170" s="129"/>
      <c r="C170" s="129"/>
      <c r="D170" s="129"/>
      <c r="E170" s="129"/>
      <c r="F170" s="129"/>
      <c r="G170" s="129"/>
      <c r="H170" s="129"/>
      <c r="I170" s="129"/>
      <c r="J170" s="129"/>
    </row>
    <row r="171" spans="1:10" ht="22.5" x14ac:dyDescent="0.2">
      <c r="A171" s="180" t="s">
        <v>315</v>
      </c>
      <c r="B171" s="180"/>
      <c r="C171" s="180"/>
      <c r="D171" s="180"/>
      <c r="E171" s="180"/>
      <c r="F171" s="184" t="s">
        <v>532</v>
      </c>
      <c r="G171" s="184" t="s">
        <v>533</v>
      </c>
      <c r="H171" s="184" t="s">
        <v>534</v>
      </c>
      <c r="I171" s="184" t="s">
        <v>535</v>
      </c>
      <c r="J171" s="184" t="s">
        <v>536</v>
      </c>
    </row>
    <row r="172" spans="1:10" ht="15" customHeight="1" x14ac:dyDescent="0.2">
      <c r="A172" s="180" t="s">
        <v>316</v>
      </c>
      <c r="B172" s="180"/>
      <c r="C172" s="180"/>
      <c r="D172" s="180"/>
      <c r="E172" s="180"/>
      <c r="F172" s="180"/>
      <c r="G172" s="180"/>
      <c r="H172" s="180"/>
      <c r="I172" s="180"/>
      <c r="J172" s="180"/>
    </row>
    <row r="173" spans="1:10" ht="15" customHeight="1" x14ac:dyDescent="0.2">
      <c r="A173" s="313" t="s">
        <v>537</v>
      </c>
      <c r="B173" s="313"/>
      <c r="C173" s="313"/>
      <c r="D173" s="313"/>
      <c r="E173" s="313"/>
      <c r="F173" s="272">
        <v>0</v>
      </c>
      <c r="G173" s="191">
        <v>2</v>
      </c>
      <c r="H173" s="191">
        <v>2</v>
      </c>
      <c r="I173" s="191">
        <v>2</v>
      </c>
      <c r="J173" s="191">
        <v>2</v>
      </c>
    </row>
    <row r="174" spans="1:10" ht="15" customHeight="1" x14ac:dyDescent="0.2">
      <c r="A174" s="313" t="s">
        <v>538</v>
      </c>
      <c r="B174" s="313"/>
      <c r="C174" s="313"/>
      <c r="D174" s="313"/>
      <c r="E174" s="313"/>
      <c r="F174" s="272">
        <v>0</v>
      </c>
      <c r="G174" s="191">
        <v>4</v>
      </c>
      <c r="H174" s="191">
        <v>2</v>
      </c>
      <c r="I174" s="191">
        <v>2</v>
      </c>
      <c r="J174" s="191" t="s">
        <v>539</v>
      </c>
    </row>
    <row r="175" spans="1:10" x14ac:dyDescent="0.2">
      <c r="A175" s="188"/>
      <c r="B175" s="188"/>
      <c r="C175" s="188"/>
      <c r="D175" s="188"/>
      <c r="E175" s="188"/>
      <c r="F175" s="273"/>
      <c r="G175" s="190"/>
      <c r="H175" s="190"/>
      <c r="I175" s="190"/>
      <c r="J175" s="190"/>
    </row>
    <row r="176" spans="1:10" ht="23.25" customHeight="1" x14ac:dyDescent="0.2">
      <c r="A176" s="180" t="s">
        <v>324</v>
      </c>
      <c r="B176" s="180"/>
      <c r="C176" s="180"/>
      <c r="D176" s="180"/>
      <c r="E176" s="180"/>
      <c r="F176" s="180"/>
      <c r="G176" s="180"/>
      <c r="H176" s="180"/>
      <c r="I176" s="180"/>
      <c r="J176" s="180"/>
    </row>
    <row r="177" spans="1:10" ht="15" customHeight="1" x14ac:dyDescent="0.2">
      <c r="A177" s="313" t="s">
        <v>540</v>
      </c>
      <c r="B177" s="313"/>
      <c r="C177" s="313"/>
      <c r="D177" s="313"/>
      <c r="E177" s="313"/>
      <c r="F177" s="272">
        <v>0</v>
      </c>
      <c r="G177" s="191">
        <v>60</v>
      </c>
      <c r="H177" s="191">
        <v>150</v>
      </c>
      <c r="I177" s="191">
        <v>150</v>
      </c>
      <c r="J177" s="191">
        <v>150</v>
      </c>
    </row>
    <row r="178" spans="1:10" ht="15" customHeight="1" x14ac:dyDescent="0.2">
      <c r="A178" s="313" t="s">
        <v>541</v>
      </c>
      <c r="B178" s="313"/>
      <c r="C178" s="313"/>
      <c r="D178" s="313"/>
      <c r="E178" s="313"/>
      <c r="F178" s="272">
        <v>0</v>
      </c>
      <c r="G178" s="191">
        <v>50</v>
      </c>
      <c r="H178" s="191">
        <v>150</v>
      </c>
      <c r="I178" s="191">
        <v>150</v>
      </c>
      <c r="J178" s="191">
        <v>150</v>
      </c>
    </row>
    <row r="179" spans="1:10" x14ac:dyDescent="0.2">
      <c r="A179" s="129"/>
      <c r="B179" s="129"/>
      <c r="C179" s="129"/>
      <c r="D179" s="129"/>
      <c r="E179" s="129"/>
      <c r="F179" s="129"/>
      <c r="G179" s="129"/>
      <c r="H179" s="129"/>
      <c r="I179" s="129"/>
      <c r="J179" s="129"/>
    </row>
    <row r="180" spans="1:10" x14ac:dyDescent="0.2">
      <c r="A180" s="150" t="s">
        <v>542</v>
      </c>
      <c r="B180" s="150"/>
      <c r="C180" s="150"/>
      <c r="D180" s="150"/>
      <c r="E180" s="150"/>
      <c r="F180" s="150"/>
      <c r="G180" s="150"/>
      <c r="H180" s="150"/>
      <c r="I180" s="150"/>
      <c r="J180" s="150"/>
    </row>
    <row r="181" spans="1:10" ht="24.75" customHeight="1" x14ac:dyDescent="0.2">
      <c r="A181" s="151" t="s">
        <v>291</v>
      </c>
      <c r="B181" s="151"/>
      <c r="C181" s="151"/>
      <c r="D181" s="101"/>
      <c r="E181" s="101"/>
      <c r="F181" s="101"/>
      <c r="G181" s="101"/>
      <c r="H181" s="101"/>
      <c r="I181" s="101"/>
      <c r="J181" s="101"/>
    </row>
    <row r="182" spans="1:10" ht="25.5" customHeight="1" x14ac:dyDescent="0.2">
      <c r="A182" s="129" t="s">
        <v>543</v>
      </c>
      <c r="B182" s="129"/>
      <c r="C182" s="129"/>
      <c r="D182" s="129"/>
      <c r="E182" s="129"/>
      <c r="F182" s="129"/>
      <c r="G182" s="129"/>
      <c r="H182" s="129"/>
      <c r="I182" s="129"/>
      <c r="J182" s="129"/>
    </row>
    <row r="183" spans="1:10" x14ac:dyDescent="0.2">
      <c r="A183" s="128" t="s">
        <v>293</v>
      </c>
      <c r="B183" s="128"/>
      <c r="C183" s="128"/>
      <c r="D183" s="128"/>
      <c r="E183" s="128"/>
      <c r="F183" s="128"/>
      <c r="G183" s="128"/>
      <c r="H183" s="128"/>
      <c r="I183" s="128"/>
      <c r="J183" s="128"/>
    </row>
    <row r="184" spans="1:10" ht="33.75" x14ac:dyDescent="0.2">
      <c r="A184" s="152" t="s">
        <v>243</v>
      </c>
      <c r="B184" s="151" t="s">
        <v>242</v>
      </c>
      <c r="C184" s="151"/>
      <c r="D184" s="151"/>
      <c r="E184" s="132" t="str">
        <f t="shared" ref="E184:J184" si="33">E19</f>
        <v>Actuals           2014-2015</v>
      </c>
      <c r="F184" s="132" t="str">
        <f t="shared" si="33"/>
        <v>Approved Estimates          2015-2016</v>
      </c>
      <c r="G184" s="132" t="str">
        <f t="shared" si="33"/>
        <v>Revised Estimates                 2015-2016</v>
      </c>
      <c r="H184" s="132" t="str">
        <f t="shared" si="33"/>
        <v>Budget Estimates      2016-2017</v>
      </c>
      <c r="I184" s="132" t="str">
        <f t="shared" si="33"/>
        <v>Forward Estimates     2017-2018</v>
      </c>
      <c r="J184" s="132" t="str">
        <f t="shared" si="33"/>
        <v>Forward Estimates     2018-2019</v>
      </c>
    </row>
    <row r="185" spans="1:10" x14ac:dyDescent="0.2">
      <c r="A185" s="133">
        <v>130</v>
      </c>
      <c r="B185" s="129" t="s">
        <v>544</v>
      </c>
      <c r="C185" s="101"/>
      <c r="D185" s="101"/>
      <c r="E185" s="211">
        <v>1000</v>
      </c>
      <c r="F185" s="209">
        <v>25000</v>
      </c>
      <c r="G185" s="211">
        <v>25000</v>
      </c>
      <c r="H185" s="210">
        <v>0</v>
      </c>
      <c r="I185" s="211">
        <v>0</v>
      </c>
      <c r="J185" s="211">
        <v>0</v>
      </c>
    </row>
    <row r="186" spans="1:10" x14ac:dyDescent="0.2">
      <c r="A186" s="137" t="s">
        <v>293</v>
      </c>
      <c r="B186" s="137"/>
      <c r="C186" s="137"/>
      <c r="D186" s="137"/>
      <c r="E186" s="138">
        <f t="shared" ref="E186:J186" si="34">SUM(E185:E185)</f>
        <v>1000</v>
      </c>
      <c r="F186" s="138">
        <f t="shared" si="34"/>
        <v>25000</v>
      </c>
      <c r="G186" s="138">
        <f t="shared" si="34"/>
        <v>25000</v>
      </c>
      <c r="H186" s="138">
        <f t="shared" si="34"/>
        <v>0</v>
      </c>
      <c r="I186" s="138">
        <f t="shared" si="34"/>
        <v>0</v>
      </c>
      <c r="J186" s="138">
        <f t="shared" si="34"/>
        <v>0</v>
      </c>
    </row>
    <row r="187" spans="1:10" x14ac:dyDescent="0.2">
      <c r="A187" s="129"/>
      <c r="B187" s="129"/>
      <c r="C187" s="129"/>
      <c r="D187" s="129"/>
      <c r="E187" s="129"/>
      <c r="F187" s="129"/>
      <c r="G187" s="129"/>
      <c r="H187" s="129"/>
      <c r="I187" s="129"/>
      <c r="J187" s="129"/>
    </row>
    <row r="188" spans="1:10" x14ac:dyDescent="0.2">
      <c r="A188" s="128" t="s">
        <v>284</v>
      </c>
      <c r="B188" s="128"/>
      <c r="C188" s="128"/>
      <c r="D188" s="128"/>
      <c r="E188" s="128"/>
      <c r="F188" s="128"/>
      <c r="G188" s="128"/>
      <c r="H188" s="128"/>
      <c r="I188" s="128"/>
      <c r="J188" s="128"/>
    </row>
    <row r="189" spans="1:10" ht="33.75" x14ac:dyDescent="0.2">
      <c r="A189" s="152" t="s">
        <v>243</v>
      </c>
      <c r="B189" s="151" t="s">
        <v>242</v>
      </c>
      <c r="C189" s="151"/>
      <c r="D189" s="151"/>
      <c r="E189" s="132" t="str">
        <f t="shared" ref="E189:J189" si="35">E19</f>
        <v>Actuals           2014-2015</v>
      </c>
      <c r="F189" s="132" t="str">
        <f t="shared" si="35"/>
        <v>Approved Estimates          2015-2016</v>
      </c>
      <c r="G189" s="132" t="str">
        <f t="shared" si="35"/>
        <v>Revised Estimates                 2015-2016</v>
      </c>
      <c r="H189" s="132" t="str">
        <f t="shared" si="35"/>
        <v>Budget Estimates      2016-2017</v>
      </c>
      <c r="I189" s="132" t="str">
        <f t="shared" si="35"/>
        <v>Forward Estimates     2017-2018</v>
      </c>
      <c r="J189" s="132" t="str">
        <f t="shared" si="35"/>
        <v>Forward Estimates     2018-2019</v>
      </c>
    </row>
    <row r="190" spans="1:10" x14ac:dyDescent="0.2">
      <c r="A190" s="151" t="s">
        <v>7</v>
      </c>
      <c r="B190" s="151"/>
      <c r="C190" s="151"/>
      <c r="D190" s="151"/>
      <c r="E190" s="151"/>
      <c r="F190" s="151"/>
      <c r="G190" s="151"/>
      <c r="H190" s="151"/>
      <c r="I190" s="151"/>
      <c r="J190" s="190"/>
    </row>
    <row r="191" spans="1:10" x14ac:dyDescent="0.2">
      <c r="A191" s="207">
        <v>210</v>
      </c>
      <c r="B191" s="129" t="s">
        <v>7</v>
      </c>
      <c r="C191" s="129"/>
      <c r="D191" s="129"/>
      <c r="E191" s="211">
        <v>598227.06999999995</v>
      </c>
      <c r="F191" s="209">
        <v>778400</v>
      </c>
      <c r="G191" s="211">
        <v>778400</v>
      </c>
      <c r="H191" s="210">
        <v>0</v>
      </c>
      <c r="I191" s="211">
        <v>0</v>
      </c>
      <c r="J191" s="211">
        <v>0</v>
      </c>
    </row>
    <row r="192" spans="1:10" x14ac:dyDescent="0.2">
      <c r="A192" s="207">
        <v>212</v>
      </c>
      <c r="B192" s="129" t="s">
        <v>9</v>
      </c>
      <c r="C192" s="129"/>
      <c r="D192" s="129"/>
      <c r="E192" s="211">
        <v>10920</v>
      </c>
      <c r="F192" s="209">
        <v>11000</v>
      </c>
      <c r="G192" s="211">
        <v>11000</v>
      </c>
      <c r="H192" s="210">
        <v>0</v>
      </c>
      <c r="I192" s="211">
        <v>0</v>
      </c>
      <c r="J192" s="211">
        <v>0</v>
      </c>
    </row>
    <row r="193" spans="1:10" x14ac:dyDescent="0.2">
      <c r="A193" s="207">
        <v>216</v>
      </c>
      <c r="B193" s="129" t="s">
        <v>10</v>
      </c>
      <c r="C193" s="129"/>
      <c r="D193" s="129"/>
      <c r="E193" s="211">
        <v>279791.12</v>
      </c>
      <c r="F193" s="209">
        <v>190200</v>
      </c>
      <c r="G193" s="211">
        <v>190200</v>
      </c>
      <c r="H193" s="210">
        <v>0</v>
      </c>
      <c r="I193" s="211">
        <v>0</v>
      </c>
      <c r="J193" s="211">
        <v>0</v>
      </c>
    </row>
    <row r="194" spans="1:10" x14ac:dyDescent="0.2">
      <c r="A194" s="207">
        <v>218</v>
      </c>
      <c r="B194" s="129" t="s">
        <v>294</v>
      </c>
      <c r="C194" s="129"/>
      <c r="D194" s="129"/>
      <c r="E194" s="211">
        <v>23562</v>
      </c>
      <c r="F194" s="209">
        <v>44200</v>
      </c>
      <c r="G194" s="211">
        <v>44200</v>
      </c>
      <c r="H194" s="210">
        <v>0</v>
      </c>
      <c r="I194" s="211">
        <v>0</v>
      </c>
      <c r="J194" s="211">
        <v>0</v>
      </c>
    </row>
    <row r="195" spans="1:10" x14ac:dyDescent="0.2">
      <c r="A195" s="156" t="s">
        <v>295</v>
      </c>
      <c r="B195" s="156"/>
      <c r="C195" s="156"/>
      <c r="D195" s="156"/>
      <c r="E195" s="157">
        <f t="shared" ref="E195:J195" si="36">SUM(E191:E194)</f>
        <v>912500.19</v>
      </c>
      <c r="F195" s="157">
        <f t="shared" si="36"/>
        <v>1023800</v>
      </c>
      <c r="G195" s="157">
        <f t="shared" si="36"/>
        <v>1023800</v>
      </c>
      <c r="H195" s="157">
        <f t="shared" si="36"/>
        <v>0</v>
      </c>
      <c r="I195" s="157">
        <f t="shared" si="36"/>
        <v>0</v>
      </c>
      <c r="J195" s="157">
        <f t="shared" si="36"/>
        <v>0</v>
      </c>
    </row>
    <row r="196" spans="1:10" x14ac:dyDescent="0.2">
      <c r="A196" s="156" t="s">
        <v>296</v>
      </c>
      <c r="B196" s="156"/>
      <c r="C196" s="156"/>
      <c r="D196" s="156"/>
      <c r="E196" s="156"/>
      <c r="F196" s="156"/>
      <c r="G196" s="156"/>
      <c r="H196" s="156"/>
      <c r="I196" s="156"/>
      <c r="J196" s="190"/>
    </row>
    <row r="197" spans="1:10" x14ac:dyDescent="0.2">
      <c r="A197" s="207">
        <v>220</v>
      </c>
      <c r="B197" s="129" t="s">
        <v>204</v>
      </c>
      <c r="C197" s="129"/>
      <c r="D197" s="129"/>
      <c r="E197" s="211">
        <v>3596.38</v>
      </c>
      <c r="F197" s="211">
        <v>6000</v>
      </c>
      <c r="G197" s="211">
        <v>6000</v>
      </c>
      <c r="H197" s="210">
        <v>0</v>
      </c>
      <c r="I197" s="211">
        <v>0</v>
      </c>
      <c r="J197" s="211">
        <v>0</v>
      </c>
    </row>
    <row r="198" spans="1:10" x14ac:dyDescent="0.2">
      <c r="A198" s="207">
        <v>222</v>
      </c>
      <c r="B198" s="129" t="s">
        <v>205</v>
      </c>
      <c r="C198" s="129"/>
      <c r="D198" s="129"/>
      <c r="E198" s="211">
        <v>11614.56</v>
      </c>
      <c r="F198" s="211">
        <v>12000</v>
      </c>
      <c r="G198" s="211">
        <v>12000</v>
      </c>
      <c r="H198" s="210">
        <v>0</v>
      </c>
      <c r="I198" s="211">
        <v>0</v>
      </c>
      <c r="J198" s="211">
        <v>0</v>
      </c>
    </row>
    <row r="199" spans="1:10" x14ac:dyDescent="0.2">
      <c r="A199" s="207">
        <v>224</v>
      </c>
      <c r="B199" s="129" t="s">
        <v>545</v>
      </c>
      <c r="C199" s="129"/>
      <c r="D199" s="129"/>
      <c r="E199" s="211">
        <v>21546.63</v>
      </c>
      <c r="F199" s="211">
        <v>40000</v>
      </c>
      <c r="G199" s="211">
        <v>40000</v>
      </c>
      <c r="H199" s="210">
        <v>0</v>
      </c>
      <c r="I199" s="211">
        <v>0</v>
      </c>
      <c r="J199" s="211">
        <v>0</v>
      </c>
    </row>
    <row r="200" spans="1:10" x14ac:dyDescent="0.2">
      <c r="A200" s="207">
        <v>226</v>
      </c>
      <c r="B200" s="129" t="s">
        <v>207</v>
      </c>
      <c r="C200" s="129"/>
      <c r="D200" s="129"/>
      <c r="E200" s="211">
        <v>4029.1</v>
      </c>
      <c r="F200" s="211">
        <v>10000</v>
      </c>
      <c r="G200" s="211">
        <v>10000</v>
      </c>
      <c r="H200" s="210">
        <v>0</v>
      </c>
      <c r="I200" s="211">
        <v>0</v>
      </c>
      <c r="J200" s="211">
        <v>0</v>
      </c>
    </row>
    <row r="201" spans="1:10" x14ac:dyDescent="0.2">
      <c r="A201" s="207">
        <v>228</v>
      </c>
      <c r="B201" s="129" t="s">
        <v>208</v>
      </c>
      <c r="C201" s="129"/>
      <c r="D201" s="129"/>
      <c r="E201" s="211">
        <v>2588.1999999999998</v>
      </c>
      <c r="F201" s="211">
        <v>4000</v>
      </c>
      <c r="G201" s="211">
        <v>4000</v>
      </c>
      <c r="H201" s="210">
        <v>0</v>
      </c>
      <c r="I201" s="211">
        <v>0</v>
      </c>
      <c r="J201" s="211">
        <v>0</v>
      </c>
    </row>
    <row r="202" spans="1:10" x14ac:dyDescent="0.2">
      <c r="A202" s="207">
        <v>232</v>
      </c>
      <c r="B202" s="129" t="s">
        <v>211</v>
      </c>
      <c r="C202" s="129"/>
      <c r="D202" s="129"/>
      <c r="E202" s="211">
        <v>2399.9499999999998</v>
      </c>
      <c r="F202" s="211">
        <v>8000</v>
      </c>
      <c r="G202" s="211">
        <v>8000</v>
      </c>
      <c r="H202" s="210">
        <v>0</v>
      </c>
      <c r="I202" s="211">
        <v>0</v>
      </c>
      <c r="J202" s="211">
        <v>0</v>
      </c>
    </row>
    <row r="203" spans="1:10" x14ac:dyDescent="0.2">
      <c r="A203" s="207">
        <v>234</v>
      </c>
      <c r="B203" s="129" t="s">
        <v>546</v>
      </c>
      <c r="C203" s="129"/>
      <c r="D203" s="129"/>
      <c r="E203" s="211">
        <v>59220</v>
      </c>
      <c r="F203" s="211">
        <v>60000</v>
      </c>
      <c r="G203" s="211">
        <v>60000</v>
      </c>
      <c r="H203" s="210">
        <v>0</v>
      </c>
      <c r="I203" s="211">
        <v>0</v>
      </c>
      <c r="J203" s="211">
        <v>0</v>
      </c>
    </row>
    <row r="204" spans="1:10" x14ac:dyDescent="0.2">
      <c r="A204" s="207">
        <v>236</v>
      </c>
      <c r="B204" s="129" t="s">
        <v>213</v>
      </c>
      <c r="C204" s="129"/>
      <c r="D204" s="129"/>
      <c r="E204" s="211">
        <v>50970.39</v>
      </c>
      <c r="F204" s="211">
        <v>80000</v>
      </c>
      <c r="G204" s="211">
        <v>80000</v>
      </c>
      <c r="H204" s="210">
        <v>0</v>
      </c>
      <c r="I204" s="211">
        <v>0</v>
      </c>
      <c r="J204" s="211">
        <v>0</v>
      </c>
    </row>
    <row r="205" spans="1:10" x14ac:dyDescent="0.2">
      <c r="A205" s="207">
        <v>242</v>
      </c>
      <c r="B205" s="129" t="s">
        <v>216</v>
      </c>
      <c r="C205" s="129"/>
      <c r="D205" s="129"/>
      <c r="E205" s="211">
        <v>4824.5</v>
      </c>
      <c r="F205" s="211">
        <v>20000</v>
      </c>
      <c r="G205" s="211">
        <v>20000</v>
      </c>
      <c r="H205" s="210">
        <v>0</v>
      </c>
      <c r="I205" s="211">
        <v>0</v>
      </c>
      <c r="J205" s="211">
        <v>0</v>
      </c>
    </row>
    <row r="206" spans="1:10" x14ac:dyDescent="0.2">
      <c r="A206" s="207">
        <v>246</v>
      </c>
      <c r="B206" s="129" t="s">
        <v>218</v>
      </c>
      <c r="C206" s="129"/>
      <c r="D206" s="129"/>
      <c r="E206" s="211">
        <v>2378.5100000000002</v>
      </c>
      <c r="F206" s="211">
        <v>6000</v>
      </c>
      <c r="G206" s="211">
        <v>6000</v>
      </c>
      <c r="H206" s="210">
        <v>0</v>
      </c>
      <c r="I206" s="211">
        <v>0</v>
      </c>
      <c r="J206" s="211">
        <v>0</v>
      </c>
    </row>
    <row r="207" spans="1:10" x14ac:dyDescent="0.2">
      <c r="A207" s="207">
        <v>260</v>
      </c>
      <c r="B207" s="129" t="s">
        <v>220</v>
      </c>
      <c r="C207" s="129"/>
      <c r="D207" s="129"/>
      <c r="E207" s="211">
        <v>5975.06</v>
      </c>
      <c r="F207" s="211">
        <v>2500</v>
      </c>
      <c r="G207" s="211">
        <v>2500</v>
      </c>
      <c r="H207" s="210">
        <v>0</v>
      </c>
      <c r="I207" s="211">
        <v>0</v>
      </c>
      <c r="J207" s="211">
        <v>0</v>
      </c>
    </row>
    <row r="208" spans="1:10" x14ac:dyDescent="0.2">
      <c r="A208" s="207">
        <v>275</v>
      </c>
      <c r="B208" s="129" t="s">
        <v>228</v>
      </c>
      <c r="C208" s="129"/>
      <c r="D208" s="129"/>
      <c r="E208" s="211">
        <v>2607.09</v>
      </c>
      <c r="F208" s="211">
        <v>5000</v>
      </c>
      <c r="G208" s="211">
        <v>5000</v>
      </c>
      <c r="H208" s="210">
        <v>0</v>
      </c>
      <c r="I208" s="211">
        <v>0</v>
      </c>
      <c r="J208" s="211">
        <v>0</v>
      </c>
    </row>
    <row r="209" spans="1:10" x14ac:dyDescent="0.2">
      <c r="A209" s="156" t="s">
        <v>298</v>
      </c>
      <c r="B209" s="156"/>
      <c r="C209" s="156"/>
      <c r="D209" s="156"/>
      <c r="E209" s="157">
        <f t="shared" ref="E209:J209" si="37">SUM(E197:E208)</f>
        <v>171750.37</v>
      </c>
      <c r="F209" s="264">
        <f t="shared" si="37"/>
        <v>253500</v>
      </c>
      <c r="G209" s="157">
        <f t="shared" si="37"/>
        <v>253500</v>
      </c>
      <c r="H209" s="157">
        <f t="shared" si="37"/>
        <v>0</v>
      </c>
      <c r="I209" s="157">
        <f t="shared" si="37"/>
        <v>0</v>
      </c>
      <c r="J209" s="157">
        <f t="shared" si="37"/>
        <v>0</v>
      </c>
    </row>
    <row r="210" spans="1:10" x14ac:dyDescent="0.2">
      <c r="A210" s="159" t="s">
        <v>299</v>
      </c>
      <c r="B210" s="159"/>
      <c r="C210" s="159"/>
      <c r="D210" s="159"/>
      <c r="E210" s="160">
        <f t="shared" ref="E210:J210" si="38">SUM(E195,E209)</f>
        <v>1084250.56</v>
      </c>
      <c r="F210" s="160">
        <f t="shared" si="38"/>
        <v>1277300</v>
      </c>
      <c r="G210" s="160">
        <f t="shared" si="38"/>
        <v>1277300</v>
      </c>
      <c r="H210" s="160">
        <f t="shared" si="38"/>
        <v>0</v>
      </c>
      <c r="I210" s="160">
        <f t="shared" si="38"/>
        <v>0</v>
      </c>
      <c r="J210" s="160">
        <f t="shared" si="38"/>
        <v>0</v>
      </c>
    </row>
    <row r="211" spans="1:10" ht="18" customHeight="1" x14ac:dyDescent="0.2">
      <c r="A211" s="289"/>
      <c r="B211" s="289"/>
      <c r="C211" s="289"/>
      <c r="D211" s="289"/>
      <c r="E211" s="289"/>
      <c r="F211" s="289"/>
      <c r="G211" s="289"/>
      <c r="H211" s="289"/>
      <c r="I211" s="289"/>
      <c r="J211" s="289"/>
    </row>
    <row r="212" spans="1:10" x14ac:dyDescent="0.2">
      <c r="A212" s="162" t="s">
        <v>15</v>
      </c>
      <c r="B212" s="162"/>
      <c r="C212" s="162"/>
      <c r="D212" s="162"/>
      <c r="E212" s="162"/>
      <c r="F212" s="162"/>
      <c r="G212" s="162"/>
      <c r="H212" s="162"/>
      <c r="I212" s="162"/>
      <c r="J212" s="162"/>
    </row>
    <row r="213" spans="1:10" ht="18.75" customHeight="1" x14ac:dyDescent="0.2">
      <c r="A213" s="131" t="s">
        <v>242</v>
      </c>
      <c r="B213" s="131"/>
      <c r="C213" s="131"/>
      <c r="D213" s="131"/>
      <c r="E213" s="128" t="str">
        <f t="shared" ref="E213:J213" si="39">E19</f>
        <v>Actuals           2014-2015</v>
      </c>
      <c r="F213" s="128" t="str">
        <f t="shared" si="39"/>
        <v>Approved Estimates          2015-2016</v>
      </c>
      <c r="G213" s="128" t="str">
        <f t="shared" si="39"/>
        <v>Revised Estimates                 2015-2016</v>
      </c>
      <c r="H213" s="128" t="str">
        <f t="shared" si="39"/>
        <v>Budget Estimates      2016-2017</v>
      </c>
      <c r="I213" s="128" t="str">
        <f t="shared" si="39"/>
        <v>Forward Estimates     2017-2018</v>
      </c>
      <c r="J213" s="128" t="str">
        <f t="shared" si="39"/>
        <v>Forward Estimates     2018-2019</v>
      </c>
    </row>
    <row r="214" spans="1:10" x14ac:dyDescent="0.2">
      <c r="A214" s="130" t="s">
        <v>243</v>
      </c>
      <c r="B214" s="130" t="s">
        <v>244</v>
      </c>
      <c r="C214" s="131" t="s">
        <v>245</v>
      </c>
      <c r="D214" s="131"/>
      <c r="E214" s="101"/>
      <c r="F214" s="101"/>
      <c r="G214" s="101"/>
      <c r="H214" s="101"/>
      <c r="I214" s="101"/>
      <c r="J214" s="101"/>
    </row>
    <row r="215" spans="1:10" x14ac:dyDescent="0.2">
      <c r="A215" s="163"/>
      <c r="B215" s="163"/>
      <c r="C215" s="156"/>
      <c r="D215" s="156"/>
      <c r="E215" s="158"/>
      <c r="F215" s="209"/>
      <c r="G215" s="158"/>
      <c r="H215" s="136"/>
      <c r="I215" s="158"/>
      <c r="J215" s="135"/>
    </row>
    <row r="216" spans="1:10" x14ac:dyDescent="0.2">
      <c r="A216" s="163"/>
      <c r="B216" s="163"/>
      <c r="C216" s="156"/>
      <c r="D216" s="156"/>
      <c r="E216" s="158"/>
      <c r="F216" s="209"/>
      <c r="G216" s="158"/>
      <c r="H216" s="136"/>
      <c r="I216" s="158"/>
      <c r="J216" s="135"/>
    </row>
    <row r="217" spans="1:10" ht="15" customHeight="1" x14ac:dyDescent="0.2">
      <c r="A217" s="137" t="s">
        <v>15</v>
      </c>
      <c r="B217" s="137"/>
      <c r="C217" s="137"/>
      <c r="D217" s="137"/>
      <c r="E217" s="138">
        <v>0</v>
      </c>
      <c r="F217" s="138">
        <v>0</v>
      </c>
      <c r="G217" s="138">
        <v>0</v>
      </c>
      <c r="H217" s="138">
        <v>0</v>
      </c>
      <c r="I217" s="138">
        <v>0</v>
      </c>
      <c r="J217" s="138">
        <v>0</v>
      </c>
    </row>
    <row r="218" spans="1:10" x14ac:dyDescent="0.2">
      <c r="A218" s="134"/>
      <c r="B218" s="134"/>
      <c r="C218" s="134"/>
      <c r="D218" s="134"/>
      <c r="E218" s="134"/>
      <c r="F218" s="134"/>
      <c r="G218" s="134"/>
      <c r="H218" s="134"/>
      <c r="I218" s="134"/>
      <c r="J218" s="190"/>
    </row>
    <row r="219" spans="1:10" x14ac:dyDescent="0.2">
      <c r="A219" s="161" t="s">
        <v>288</v>
      </c>
      <c r="B219" s="161"/>
      <c r="C219" s="161"/>
      <c r="D219" s="161"/>
      <c r="E219" s="161"/>
      <c r="F219" s="202"/>
      <c r="G219" s="202"/>
      <c r="H219" s="202"/>
      <c r="I219" s="202"/>
      <c r="J219" s="202"/>
    </row>
    <row r="220" spans="1:10" x14ac:dyDescent="0.2">
      <c r="A220" s="131" t="s">
        <v>300</v>
      </c>
      <c r="B220" s="131"/>
      <c r="C220" s="131"/>
      <c r="D220" s="132" t="s">
        <v>301</v>
      </c>
      <c r="E220" s="291" t="s">
        <v>302</v>
      </c>
      <c r="F220" s="131" t="s">
        <v>300</v>
      </c>
      <c r="G220" s="131"/>
      <c r="H220" s="131"/>
      <c r="I220" s="132" t="s">
        <v>301</v>
      </c>
      <c r="J220" s="132" t="s">
        <v>302</v>
      </c>
    </row>
    <row r="221" spans="1:10" x14ac:dyDescent="0.2">
      <c r="A221" s="134" t="str">
        <f>Establishment!D74</f>
        <v>Auditor General</v>
      </c>
      <c r="B221" s="134"/>
      <c r="C221" s="134"/>
      <c r="D221" s="133" t="str">
        <f>Establishment!E74</f>
        <v>R3</v>
      </c>
      <c r="E221" s="268">
        <f>Establishment!C74</f>
        <v>1</v>
      </c>
      <c r="F221" s="134" t="str">
        <f>Establishment!D78</f>
        <v>Senior Auditor</v>
      </c>
      <c r="G221" s="134"/>
      <c r="H221" s="134"/>
      <c r="I221" s="133" t="str">
        <f>Establishment!E78</f>
        <v>R22-16</v>
      </c>
      <c r="J221" s="133">
        <f>Establishment!C78</f>
        <v>2</v>
      </c>
    </row>
    <row r="222" spans="1:10" ht="22.5" x14ac:dyDescent="0.2">
      <c r="A222" s="134" t="str">
        <f>Establishment!D75</f>
        <v>Deputy Auditor General</v>
      </c>
      <c r="B222" s="134"/>
      <c r="C222" s="134"/>
      <c r="D222" s="133" t="str">
        <f>Establishment!E75</f>
        <v>R17-13/R7</v>
      </c>
      <c r="E222" s="268">
        <f>Establishment!C75</f>
        <v>1</v>
      </c>
      <c r="F222" s="134" t="str">
        <f>Establishment!D79</f>
        <v>Auditor</v>
      </c>
      <c r="G222" s="134"/>
      <c r="H222" s="134"/>
      <c r="I222" s="133" t="str">
        <f>Establishment!E79</f>
        <v>R33-29/28-22</v>
      </c>
      <c r="J222" s="133">
        <f>Establishment!C79</f>
        <v>2</v>
      </c>
    </row>
    <row r="223" spans="1:10" x14ac:dyDescent="0.2">
      <c r="A223" s="134" t="str">
        <f>Establishment!D76</f>
        <v>IT Audit Manager</v>
      </c>
      <c r="B223" s="134"/>
      <c r="C223" s="134"/>
      <c r="D223" s="133" t="str">
        <f>Establishment!E76</f>
        <v>R17-13</v>
      </c>
      <c r="E223" s="268">
        <f>Establishment!C76</f>
        <v>3</v>
      </c>
      <c r="F223" s="134" t="str">
        <f>Establishment!D80</f>
        <v>Clerical Officer  </v>
      </c>
      <c r="G223" s="134"/>
      <c r="H223" s="134"/>
      <c r="I223" s="133" t="str">
        <f>Establishment!E80</f>
        <v>R46-34</v>
      </c>
      <c r="J223" s="133">
        <f>Establishment!C80</f>
        <v>1</v>
      </c>
    </row>
    <row r="224" spans="1:10" ht="15" customHeight="1" x14ac:dyDescent="0.2">
      <c r="A224" s="134" t="str">
        <f>Establishment!D77</f>
        <v>Audit Manager</v>
      </c>
      <c r="B224" s="134"/>
      <c r="C224" s="134"/>
      <c r="D224" s="133" t="str">
        <f>Establishment!E77</f>
        <v>R17-13</v>
      </c>
      <c r="E224" s="268">
        <f>Establishment!C77</f>
        <v>5</v>
      </c>
      <c r="F224" s="134" t="str">
        <f>Establishment!D81</f>
        <v>Office Attendant</v>
      </c>
      <c r="G224" s="134"/>
      <c r="H224" s="134"/>
      <c r="I224" s="133" t="str">
        <f>Establishment!E81</f>
        <v>R51-45</v>
      </c>
      <c r="J224" s="133">
        <f>Establishment!C81</f>
        <v>1</v>
      </c>
    </row>
    <row r="225" spans="1:10" ht="14.25" customHeight="1" x14ac:dyDescent="0.2">
      <c r="A225" s="203" t="s">
        <v>303</v>
      </c>
      <c r="B225" s="203"/>
      <c r="C225" s="203"/>
      <c r="D225" s="203"/>
      <c r="E225" s="203"/>
      <c r="F225" s="203"/>
      <c r="G225" s="203"/>
      <c r="H225" s="203"/>
      <c r="I225" s="203"/>
      <c r="J225" s="204">
        <f>SUM(E221:E224,J221:J224)</f>
        <v>16</v>
      </c>
    </row>
    <row r="226" spans="1:10" x14ac:dyDescent="0.2">
      <c r="A226" s="129"/>
      <c r="B226" s="129"/>
      <c r="C226" s="129"/>
      <c r="D226" s="129"/>
      <c r="E226" s="129"/>
      <c r="F226" s="179"/>
      <c r="G226" s="179"/>
      <c r="H226" s="179"/>
      <c r="I226" s="179"/>
      <c r="J226" s="179"/>
    </row>
    <row r="227" spans="1:10" x14ac:dyDescent="0.2">
      <c r="A227" s="180" t="s">
        <v>304</v>
      </c>
      <c r="B227" s="180"/>
      <c r="C227" s="180"/>
      <c r="D227" s="180"/>
      <c r="E227" s="180"/>
      <c r="F227" s="180"/>
      <c r="G227" s="180"/>
      <c r="H227" s="180"/>
      <c r="I227" s="180"/>
      <c r="J227" s="180"/>
    </row>
    <row r="228" spans="1:10" x14ac:dyDescent="0.2">
      <c r="A228" s="181" t="s">
        <v>305</v>
      </c>
      <c r="B228" s="181"/>
      <c r="C228" s="181"/>
      <c r="D228" s="181"/>
      <c r="E228" s="181"/>
      <c r="F228" s="181"/>
      <c r="G228" s="181"/>
      <c r="H228" s="181"/>
      <c r="I228" s="181"/>
      <c r="J228" s="181"/>
    </row>
    <row r="229" spans="1:10" x14ac:dyDescent="0.2">
      <c r="A229" s="129" t="s">
        <v>547</v>
      </c>
      <c r="B229" s="129"/>
      <c r="C229" s="129"/>
      <c r="D229" s="129"/>
      <c r="E229" s="129"/>
      <c r="F229" s="129"/>
      <c r="G229" s="129"/>
      <c r="H229" s="129"/>
      <c r="I229" s="129"/>
      <c r="J229" s="129"/>
    </row>
    <row r="230" spans="1:10" x14ac:dyDescent="0.2">
      <c r="A230" s="129" t="s">
        <v>548</v>
      </c>
      <c r="B230" s="129"/>
      <c r="C230" s="129"/>
      <c r="D230" s="129"/>
      <c r="E230" s="129"/>
      <c r="F230" s="129"/>
      <c r="G230" s="129"/>
      <c r="H230" s="129"/>
      <c r="I230" s="129"/>
      <c r="J230" s="129"/>
    </row>
    <row r="231" spans="1:10" x14ac:dyDescent="0.2">
      <c r="A231" s="129" t="s">
        <v>549</v>
      </c>
      <c r="B231" s="129"/>
      <c r="C231" s="129"/>
      <c r="D231" s="129"/>
      <c r="E231" s="129"/>
      <c r="F231" s="129"/>
      <c r="G231" s="129"/>
      <c r="H231" s="129"/>
      <c r="I231" s="129"/>
      <c r="J231" s="129"/>
    </row>
    <row r="232" spans="1:10" x14ac:dyDescent="0.2">
      <c r="A232" s="129"/>
      <c r="B232" s="129"/>
      <c r="C232" s="129"/>
      <c r="D232" s="129"/>
      <c r="E232" s="129"/>
      <c r="F232" s="129"/>
      <c r="G232" s="129"/>
      <c r="H232" s="129"/>
      <c r="I232" s="129"/>
      <c r="J232" s="129"/>
    </row>
    <row r="233" spans="1:10" x14ac:dyDescent="0.2">
      <c r="A233" s="183" t="s">
        <v>415</v>
      </c>
      <c r="B233" s="183"/>
      <c r="C233" s="183"/>
      <c r="D233" s="183"/>
      <c r="E233" s="183"/>
      <c r="F233" s="183"/>
      <c r="G233" s="183"/>
      <c r="H233" s="183"/>
      <c r="I233" s="183"/>
      <c r="J233" s="183"/>
    </row>
    <row r="234" spans="1:10" x14ac:dyDescent="0.2">
      <c r="A234" s="129" t="s">
        <v>550</v>
      </c>
      <c r="B234" s="129"/>
      <c r="C234" s="129"/>
      <c r="D234" s="129"/>
      <c r="E234" s="129"/>
      <c r="F234" s="129"/>
      <c r="G234" s="129"/>
      <c r="H234" s="129"/>
      <c r="I234" s="129"/>
      <c r="J234" s="129"/>
    </row>
    <row r="235" spans="1:10" ht="25.5" customHeight="1" x14ac:dyDescent="0.2">
      <c r="A235" s="129" t="s">
        <v>551</v>
      </c>
      <c r="B235" s="129"/>
      <c r="C235" s="129"/>
      <c r="D235" s="129"/>
      <c r="E235" s="129"/>
      <c r="F235" s="129"/>
      <c r="G235" s="129"/>
      <c r="H235" s="129"/>
      <c r="I235" s="129"/>
      <c r="J235" s="129"/>
    </row>
    <row r="236" spans="1:10" x14ac:dyDescent="0.2">
      <c r="A236" s="129" t="s">
        <v>552</v>
      </c>
      <c r="B236" s="129"/>
      <c r="C236" s="129"/>
      <c r="D236" s="129"/>
      <c r="E236" s="129"/>
      <c r="F236" s="129"/>
      <c r="G236" s="129"/>
      <c r="H236" s="129"/>
      <c r="I236" s="129"/>
      <c r="J236" s="129"/>
    </row>
    <row r="237" spans="1:10" x14ac:dyDescent="0.2">
      <c r="A237" s="129"/>
      <c r="B237" s="129"/>
      <c r="C237" s="129"/>
      <c r="D237" s="129"/>
      <c r="E237" s="129"/>
      <c r="F237" s="129"/>
      <c r="G237" s="129"/>
      <c r="H237" s="129"/>
      <c r="I237" s="129"/>
      <c r="J237" s="129"/>
    </row>
    <row r="238" spans="1:10" ht="22.5" x14ac:dyDescent="0.2">
      <c r="A238" s="180" t="s">
        <v>315</v>
      </c>
      <c r="B238" s="180"/>
      <c r="C238" s="180"/>
      <c r="D238" s="180"/>
      <c r="E238" s="180"/>
      <c r="F238" s="184" t="s">
        <v>532</v>
      </c>
      <c r="G238" s="184" t="s">
        <v>533</v>
      </c>
      <c r="H238" s="184" t="s">
        <v>534</v>
      </c>
      <c r="I238" s="184" t="s">
        <v>535</v>
      </c>
      <c r="J238" s="184" t="s">
        <v>536</v>
      </c>
    </row>
    <row r="239" spans="1:10" x14ac:dyDescent="0.2">
      <c r="A239" s="180" t="s">
        <v>316</v>
      </c>
      <c r="B239" s="180"/>
      <c r="C239" s="180"/>
      <c r="D239" s="180"/>
      <c r="E239" s="180"/>
      <c r="F239" s="180"/>
      <c r="G239" s="180"/>
      <c r="H239" s="180"/>
      <c r="I239" s="180"/>
      <c r="J239" s="180"/>
    </row>
    <row r="240" spans="1:10" ht="67.5" x14ac:dyDescent="0.2">
      <c r="A240" s="188" t="s">
        <v>553</v>
      </c>
      <c r="B240" s="188"/>
      <c r="C240" s="188"/>
      <c r="D240" s="188"/>
      <c r="E240" s="188"/>
      <c r="F240" s="273"/>
      <c r="G240" s="286" t="s">
        <v>554</v>
      </c>
      <c r="H240" s="286" t="s">
        <v>554</v>
      </c>
      <c r="I240" s="286" t="s">
        <v>555</v>
      </c>
      <c r="J240" s="286"/>
    </row>
    <row r="241" spans="1:10" ht="180" x14ac:dyDescent="0.2">
      <c r="A241" s="188" t="s">
        <v>556</v>
      </c>
      <c r="B241" s="188"/>
      <c r="C241" s="188"/>
      <c r="D241" s="188"/>
      <c r="E241" s="188"/>
      <c r="F241" s="273"/>
      <c r="G241" s="286" t="s">
        <v>557</v>
      </c>
      <c r="H241" s="286" t="s">
        <v>558</v>
      </c>
      <c r="I241" s="286" t="s">
        <v>559</v>
      </c>
      <c r="J241" s="286" t="s">
        <v>560</v>
      </c>
    </row>
    <row r="242" spans="1:10" ht="45" x14ac:dyDescent="0.2">
      <c r="A242" s="188" t="s">
        <v>561</v>
      </c>
      <c r="B242" s="188"/>
      <c r="C242" s="188"/>
      <c r="D242" s="188"/>
      <c r="E242" s="188"/>
      <c r="F242" s="273"/>
      <c r="G242" s="261" t="s">
        <v>562</v>
      </c>
      <c r="H242" s="261" t="s">
        <v>562</v>
      </c>
      <c r="I242" s="261" t="s">
        <v>563</v>
      </c>
      <c r="J242" s="261" t="s">
        <v>563</v>
      </c>
    </row>
    <row r="243" spans="1:10" x14ac:dyDescent="0.2">
      <c r="A243" s="188" t="s">
        <v>564</v>
      </c>
      <c r="B243" s="188"/>
      <c r="C243" s="188"/>
      <c r="D243" s="188"/>
      <c r="E243" s="188"/>
      <c r="F243" s="273"/>
      <c r="G243" s="190">
        <v>20</v>
      </c>
      <c r="H243" s="190">
        <v>20</v>
      </c>
      <c r="I243" s="190">
        <v>20</v>
      </c>
      <c r="J243" s="190">
        <v>20</v>
      </c>
    </row>
    <row r="244" spans="1:10" x14ac:dyDescent="0.2">
      <c r="A244" s="188"/>
      <c r="B244" s="188"/>
      <c r="C244" s="188"/>
      <c r="D244" s="188"/>
      <c r="E244" s="188"/>
      <c r="F244" s="273"/>
      <c r="G244" s="190"/>
      <c r="H244" s="190"/>
      <c r="I244" s="190"/>
      <c r="J244" s="190"/>
    </row>
    <row r="245" spans="1:10" ht="25.5" customHeight="1" x14ac:dyDescent="0.2">
      <c r="A245" s="180" t="s">
        <v>324</v>
      </c>
      <c r="B245" s="180"/>
      <c r="C245" s="180"/>
      <c r="D245" s="180"/>
      <c r="E245" s="180"/>
      <c r="F245" s="180"/>
      <c r="G245" s="180"/>
      <c r="H245" s="180"/>
      <c r="I245" s="180"/>
      <c r="J245" s="180"/>
    </row>
    <row r="246" spans="1:10" ht="29.25" x14ac:dyDescent="0.2">
      <c r="A246" s="188" t="s">
        <v>565</v>
      </c>
      <c r="B246" s="188"/>
      <c r="C246" s="188"/>
      <c r="D246" s="188"/>
      <c r="E246" s="188"/>
      <c r="F246" s="273"/>
      <c r="G246" s="261"/>
      <c r="H246" s="261" t="s">
        <v>566</v>
      </c>
      <c r="I246" s="261"/>
      <c r="J246" s="261"/>
    </row>
    <row r="247" spans="1:10" x14ac:dyDescent="0.2">
      <c r="A247" s="188" t="s">
        <v>567</v>
      </c>
      <c r="B247" s="188"/>
      <c r="C247" s="188"/>
      <c r="D247" s="188"/>
      <c r="E247" s="188"/>
      <c r="F247" s="273"/>
      <c r="G247" s="206" t="s">
        <v>568</v>
      </c>
      <c r="H247" s="206">
        <v>0.6</v>
      </c>
      <c r="I247" s="206">
        <v>0.75</v>
      </c>
      <c r="J247" s="206">
        <v>0.8</v>
      </c>
    </row>
    <row r="248" spans="1:10" x14ac:dyDescent="0.2">
      <c r="A248" s="188" t="s">
        <v>569</v>
      </c>
      <c r="B248" s="188"/>
      <c r="C248" s="188"/>
      <c r="D248" s="188"/>
      <c r="E248" s="188"/>
      <c r="F248" s="273"/>
      <c r="G248" s="206" t="s">
        <v>568</v>
      </c>
      <c r="H248" s="206" t="s">
        <v>570</v>
      </c>
      <c r="I248" s="206" t="s">
        <v>571</v>
      </c>
      <c r="J248" s="206" t="s">
        <v>572</v>
      </c>
    </row>
    <row r="249" spans="1:10" ht="15" customHeight="1" x14ac:dyDescent="0.2">
      <c r="A249" s="129"/>
      <c r="B249" s="129"/>
      <c r="C249" s="129"/>
      <c r="D249" s="129"/>
      <c r="E249" s="129"/>
      <c r="F249" s="129"/>
      <c r="G249" s="129"/>
      <c r="H249" s="129"/>
      <c r="I249" s="129"/>
      <c r="J249" s="129"/>
    </row>
    <row r="250" spans="1:10" x14ac:dyDescent="0.2">
      <c r="A250" s="150" t="s">
        <v>573</v>
      </c>
      <c r="B250" s="150"/>
      <c r="C250" s="150"/>
      <c r="D250" s="150"/>
      <c r="E250" s="150"/>
      <c r="F250" s="150"/>
      <c r="G250" s="150"/>
      <c r="H250" s="150"/>
      <c r="I250" s="150"/>
      <c r="J250" s="150"/>
    </row>
    <row r="251" spans="1:10" x14ac:dyDescent="0.2">
      <c r="A251" s="151" t="s">
        <v>291</v>
      </c>
      <c r="B251" s="151"/>
      <c r="C251" s="151"/>
      <c r="D251" s="101"/>
      <c r="E251" s="101"/>
      <c r="F251" s="101"/>
      <c r="G251" s="101"/>
      <c r="H251" s="101"/>
      <c r="I251" s="101"/>
      <c r="J251" s="101"/>
    </row>
    <row r="252" spans="1:10" ht="24.75" customHeight="1" x14ac:dyDescent="0.2">
      <c r="A252" s="129" t="s">
        <v>574</v>
      </c>
      <c r="B252" s="129"/>
      <c r="C252" s="129"/>
      <c r="D252" s="129"/>
      <c r="E252" s="129"/>
      <c r="F252" s="129"/>
      <c r="G252" s="129"/>
      <c r="H252" s="129"/>
      <c r="I252" s="129"/>
      <c r="J252" s="129"/>
    </row>
    <row r="253" spans="1:10" ht="14.25" customHeight="1" x14ac:dyDescent="0.2">
      <c r="A253" s="314" t="s">
        <v>293</v>
      </c>
      <c r="B253" s="315"/>
      <c r="C253" s="315"/>
      <c r="D253" s="315"/>
      <c r="E253" s="315"/>
      <c r="F253" s="315"/>
      <c r="G253" s="315"/>
      <c r="H253" s="315"/>
      <c r="I253" s="315"/>
      <c r="J253" s="316"/>
    </row>
    <row r="254" spans="1:10" ht="33.75" x14ac:dyDescent="0.2">
      <c r="A254" s="152" t="s">
        <v>243</v>
      </c>
      <c r="B254" s="151" t="s">
        <v>242</v>
      </c>
      <c r="C254" s="151"/>
      <c r="D254" s="151"/>
      <c r="E254" s="132" t="str">
        <f t="shared" ref="E254:J254" si="40">E19</f>
        <v>Actuals           2014-2015</v>
      </c>
      <c r="F254" s="132" t="str">
        <f t="shared" si="40"/>
        <v>Approved Estimates          2015-2016</v>
      </c>
      <c r="G254" s="132" t="str">
        <f t="shared" si="40"/>
        <v>Revised Estimates                 2015-2016</v>
      </c>
      <c r="H254" s="132" t="str">
        <f t="shared" si="40"/>
        <v>Budget Estimates      2016-2017</v>
      </c>
      <c r="I254" s="132" t="str">
        <f t="shared" si="40"/>
        <v>Forward Estimates     2017-2018</v>
      </c>
      <c r="J254" s="132" t="str">
        <f t="shared" si="40"/>
        <v>Forward Estimates     2018-2019</v>
      </c>
    </row>
    <row r="255" spans="1:10" x14ac:dyDescent="0.2">
      <c r="A255" s="133"/>
      <c r="B255" s="134"/>
      <c r="C255" s="134"/>
      <c r="D255" s="134"/>
      <c r="E255" s="135"/>
      <c r="F255" s="262"/>
      <c r="G255" s="135"/>
      <c r="H255" s="136"/>
      <c r="I255" s="158"/>
      <c r="J255" s="135"/>
    </row>
    <row r="256" spans="1:10" ht="15" customHeight="1" x14ac:dyDescent="0.2">
      <c r="A256" s="137" t="s">
        <v>508</v>
      </c>
      <c r="B256" s="137"/>
      <c r="C256" s="137"/>
      <c r="D256" s="137"/>
      <c r="E256" s="138">
        <f t="shared" ref="E256:J256" si="41">SUM(E255:E255)</f>
        <v>0</v>
      </c>
      <c r="F256" s="138">
        <f t="shared" si="41"/>
        <v>0</v>
      </c>
      <c r="G256" s="138">
        <f t="shared" si="41"/>
        <v>0</v>
      </c>
      <c r="H256" s="138">
        <f t="shared" si="41"/>
        <v>0</v>
      </c>
      <c r="I256" s="138">
        <f t="shared" si="41"/>
        <v>0</v>
      </c>
      <c r="J256" s="138">
        <f t="shared" si="41"/>
        <v>0</v>
      </c>
    </row>
    <row r="257" spans="1:10" x14ac:dyDescent="0.2">
      <c r="A257" s="129"/>
      <c r="B257" s="129"/>
      <c r="C257" s="129"/>
      <c r="D257" s="129"/>
      <c r="E257" s="129"/>
      <c r="F257" s="129"/>
      <c r="G257" s="129"/>
      <c r="H257" s="129"/>
      <c r="I257" s="129"/>
      <c r="J257" s="129"/>
    </row>
    <row r="258" spans="1:10" x14ac:dyDescent="0.2">
      <c r="A258" s="128" t="s">
        <v>284</v>
      </c>
      <c r="B258" s="128"/>
      <c r="C258" s="128"/>
      <c r="D258" s="128"/>
      <c r="E258" s="128"/>
      <c r="F258" s="128"/>
      <c r="G258" s="128"/>
      <c r="H258" s="128"/>
      <c r="I258" s="128"/>
      <c r="J258" s="128"/>
    </row>
    <row r="259" spans="1:10" ht="33.75" x14ac:dyDescent="0.2">
      <c r="A259" s="152" t="s">
        <v>243</v>
      </c>
      <c r="B259" s="151" t="s">
        <v>242</v>
      </c>
      <c r="C259" s="151"/>
      <c r="D259" s="151"/>
      <c r="E259" s="132" t="str">
        <f t="shared" ref="E259:J259" si="42">E19</f>
        <v>Actuals           2014-2015</v>
      </c>
      <c r="F259" s="132" t="str">
        <f t="shared" si="42"/>
        <v>Approved Estimates          2015-2016</v>
      </c>
      <c r="G259" s="132" t="str">
        <f t="shared" si="42"/>
        <v>Revised Estimates                 2015-2016</v>
      </c>
      <c r="H259" s="132" t="str">
        <f t="shared" si="42"/>
        <v>Budget Estimates      2016-2017</v>
      </c>
      <c r="I259" s="132" t="str">
        <f t="shared" si="42"/>
        <v>Forward Estimates     2017-2018</v>
      </c>
      <c r="J259" s="132" t="str">
        <f t="shared" si="42"/>
        <v>Forward Estimates     2018-2019</v>
      </c>
    </row>
    <row r="260" spans="1:10" x14ac:dyDescent="0.2">
      <c r="A260" s="151" t="s">
        <v>7</v>
      </c>
      <c r="B260" s="151"/>
      <c r="C260" s="151"/>
      <c r="D260" s="151"/>
      <c r="E260" s="151"/>
      <c r="F260" s="151"/>
      <c r="G260" s="151"/>
      <c r="H260" s="151"/>
      <c r="I260" s="151"/>
      <c r="J260" s="190"/>
    </row>
    <row r="261" spans="1:10" x14ac:dyDescent="0.2">
      <c r="A261" s="207">
        <v>210</v>
      </c>
      <c r="B261" s="129" t="s">
        <v>7</v>
      </c>
      <c r="C261" s="129"/>
      <c r="D261" s="129"/>
      <c r="E261" s="211">
        <v>0</v>
      </c>
      <c r="F261" s="209">
        <v>0</v>
      </c>
      <c r="G261" s="211">
        <v>0</v>
      </c>
      <c r="H261" s="210">
        <v>0</v>
      </c>
      <c r="I261" s="211">
        <v>0</v>
      </c>
      <c r="J261" s="211">
        <v>0</v>
      </c>
    </row>
    <row r="262" spans="1:10" x14ac:dyDescent="0.2">
      <c r="A262" s="207">
        <v>212</v>
      </c>
      <c r="B262" s="129" t="s">
        <v>9</v>
      </c>
      <c r="C262" s="129"/>
      <c r="D262" s="129"/>
      <c r="E262" s="211">
        <v>67827.67</v>
      </c>
      <c r="F262" s="209">
        <v>89800</v>
      </c>
      <c r="G262" s="211">
        <v>89800</v>
      </c>
      <c r="H262" s="210">
        <v>89800</v>
      </c>
      <c r="I262" s="211">
        <v>89800</v>
      </c>
      <c r="J262" s="211">
        <v>89800</v>
      </c>
    </row>
    <row r="263" spans="1:10" x14ac:dyDescent="0.2">
      <c r="A263" s="207">
        <v>216</v>
      </c>
      <c r="B263" s="129" t="s">
        <v>10</v>
      </c>
      <c r="C263" s="129"/>
      <c r="D263" s="129"/>
      <c r="E263" s="211">
        <v>0</v>
      </c>
      <c r="F263" s="209">
        <v>0</v>
      </c>
      <c r="G263" s="211">
        <v>0</v>
      </c>
      <c r="H263" s="210">
        <v>0</v>
      </c>
      <c r="I263" s="211">
        <v>0</v>
      </c>
      <c r="J263" s="211">
        <v>0</v>
      </c>
    </row>
    <row r="264" spans="1:10" x14ac:dyDescent="0.2">
      <c r="A264" s="207">
        <v>218</v>
      </c>
      <c r="B264" s="129" t="s">
        <v>294</v>
      </c>
      <c r="C264" s="129"/>
      <c r="D264" s="129"/>
      <c r="E264" s="211">
        <v>0</v>
      </c>
      <c r="F264" s="209">
        <v>0</v>
      </c>
      <c r="G264" s="211">
        <v>0</v>
      </c>
      <c r="H264" s="210">
        <v>0</v>
      </c>
      <c r="I264" s="211">
        <v>0</v>
      </c>
      <c r="J264" s="211">
        <v>0</v>
      </c>
    </row>
    <row r="265" spans="1:10" ht="15" customHeight="1" x14ac:dyDescent="0.2">
      <c r="A265" s="156" t="s">
        <v>295</v>
      </c>
      <c r="B265" s="156"/>
      <c r="C265" s="156"/>
      <c r="D265" s="156"/>
      <c r="E265" s="157">
        <f t="shared" ref="E265:J265" si="43">SUM(E261:E264)</f>
        <v>67827.67</v>
      </c>
      <c r="F265" s="157">
        <f t="shared" si="43"/>
        <v>89800</v>
      </c>
      <c r="G265" s="157">
        <f t="shared" si="43"/>
        <v>89800</v>
      </c>
      <c r="H265" s="157">
        <f t="shared" si="43"/>
        <v>89800</v>
      </c>
      <c r="I265" s="157">
        <f t="shared" si="43"/>
        <v>89800</v>
      </c>
      <c r="J265" s="157">
        <f t="shared" si="43"/>
        <v>89800</v>
      </c>
    </row>
    <row r="266" spans="1:10" ht="15" customHeight="1" x14ac:dyDescent="0.2">
      <c r="A266" s="156" t="s">
        <v>296</v>
      </c>
      <c r="B266" s="156"/>
      <c r="C266" s="156"/>
      <c r="D266" s="156"/>
      <c r="E266" s="156"/>
      <c r="F266" s="156"/>
      <c r="G266" s="156"/>
      <c r="H266" s="156"/>
      <c r="I266" s="156"/>
      <c r="J266" s="190"/>
    </row>
    <row r="267" spans="1:10" x14ac:dyDescent="0.2">
      <c r="A267" s="207">
        <v>220</v>
      </c>
      <c r="B267" s="129" t="s">
        <v>575</v>
      </c>
      <c r="C267" s="129"/>
      <c r="D267" s="129"/>
      <c r="E267" s="211">
        <v>0</v>
      </c>
      <c r="F267" s="211">
        <v>2000</v>
      </c>
      <c r="G267" s="211">
        <v>2000</v>
      </c>
      <c r="H267" s="210">
        <v>0</v>
      </c>
      <c r="I267" s="211">
        <v>0</v>
      </c>
      <c r="J267" s="211">
        <v>0</v>
      </c>
    </row>
    <row r="268" spans="1:10" x14ac:dyDescent="0.2">
      <c r="A268" s="207">
        <v>224</v>
      </c>
      <c r="B268" s="129" t="s">
        <v>206</v>
      </c>
      <c r="C268" s="129"/>
      <c r="D268" s="129"/>
      <c r="E268" s="211">
        <v>4857.62</v>
      </c>
      <c r="F268" s="211">
        <v>12000</v>
      </c>
      <c r="G268" s="211">
        <v>12000</v>
      </c>
      <c r="H268" s="210">
        <v>12000</v>
      </c>
      <c r="I268" s="211">
        <v>12000</v>
      </c>
      <c r="J268" s="211">
        <v>12000</v>
      </c>
    </row>
    <row r="269" spans="1:10" x14ac:dyDescent="0.2">
      <c r="A269" s="207">
        <v>226</v>
      </c>
      <c r="B269" s="129" t="s">
        <v>207</v>
      </c>
      <c r="C269" s="129"/>
      <c r="D269" s="129"/>
      <c r="E269" s="211">
        <v>4629.99</v>
      </c>
      <c r="F269" s="211">
        <v>6000</v>
      </c>
      <c r="G269" s="211">
        <v>6000</v>
      </c>
      <c r="H269" s="210">
        <v>6000</v>
      </c>
      <c r="I269" s="211">
        <v>6000</v>
      </c>
      <c r="J269" s="211">
        <v>6000</v>
      </c>
    </row>
    <row r="270" spans="1:10" x14ac:dyDescent="0.2">
      <c r="A270" s="207">
        <v>228</v>
      </c>
      <c r="B270" s="129" t="s">
        <v>208</v>
      </c>
      <c r="C270" s="129"/>
      <c r="D270" s="129"/>
      <c r="E270" s="211">
        <v>3246.8</v>
      </c>
      <c r="F270" s="211">
        <v>4000</v>
      </c>
      <c r="G270" s="211">
        <v>4000</v>
      </c>
      <c r="H270" s="210">
        <v>4000</v>
      </c>
      <c r="I270" s="211">
        <v>4000</v>
      </c>
      <c r="J270" s="211">
        <v>4000</v>
      </c>
    </row>
    <row r="271" spans="1:10" x14ac:dyDescent="0.2">
      <c r="A271" s="207">
        <v>229</v>
      </c>
      <c r="B271" s="129" t="s">
        <v>576</v>
      </c>
      <c r="C271" s="129"/>
      <c r="D271" s="129"/>
      <c r="E271" s="211">
        <v>690</v>
      </c>
      <c r="F271" s="211">
        <v>5000</v>
      </c>
      <c r="G271" s="211">
        <v>5000</v>
      </c>
      <c r="H271" s="210">
        <v>5000</v>
      </c>
      <c r="I271" s="211">
        <v>5000</v>
      </c>
      <c r="J271" s="211">
        <v>5000</v>
      </c>
    </row>
    <row r="272" spans="1:10" x14ac:dyDescent="0.2">
      <c r="A272" s="207">
        <v>232</v>
      </c>
      <c r="B272" s="129" t="s">
        <v>211</v>
      </c>
      <c r="C272" s="129"/>
      <c r="D272" s="129"/>
      <c r="E272" s="211">
        <v>1175</v>
      </c>
      <c r="F272" s="211">
        <v>2700</v>
      </c>
      <c r="G272" s="211">
        <v>2700</v>
      </c>
      <c r="H272" s="210">
        <v>2700</v>
      </c>
      <c r="I272" s="211">
        <v>2700</v>
      </c>
      <c r="J272" s="211">
        <v>2700</v>
      </c>
    </row>
    <row r="273" spans="1:10" x14ac:dyDescent="0.2">
      <c r="A273" s="207">
        <v>234</v>
      </c>
      <c r="B273" s="129" t="s">
        <v>577</v>
      </c>
      <c r="C273" s="129"/>
      <c r="D273" s="129"/>
      <c r="E273" s="211">
        <v>30000</v>
      </c>
      <c r="F273" s="211">
        <v>30000</v>
      </c>
      <c r="G273" s="211">
        <v>30000</v>
      </c>
      <c r="H273" s="210">
        <v>30000</v>
      </c>
      <c r="I273" s="211">
        <v>30000</v>
      </c>
      <c r="J273" s="211">
        <v>30000</v>
      </c>
    </row>
    <row r="274" spans="1:10" x14ac:dyDescent="0.2">
      <c r="A274" s="207">
        <v>236</v>
      </c>
      <c r="B274" s="129" t="s">
        <v>213</v>
      </c>
      <c r="C274" s="129"/>
      <c r="D274" s="129"/>
      <c r="E274" s="211">
        <v>10700</v>
      </c>
      <c r="F274" s="211">
        <v>15000</v>
      </c>
      <c r="G274" s="211">
        <v>15000</v>
      </c>
      <c r="H274" s="210">
        <v>15000</v>
      </c>
      <c r="I274" s="211">
        <v>15000</v>
      </c>
      <c r="J274" s="211">
        <v>15000</v>
      </c>
    </row>
    <row r="275" spans="1:10" x14ac:dyDescent="0.2">
      <c r="A275" s="207">
        <v>246</v>
      </c>
      <c r="B275" s="129" t="s">
        <v>218</v>
      </c>
      <c r="C275" s="129"/>
      <c r="D275" s="129"/>
      <c r="E275" s="211">
        <v>1000</v>
      </c>
      <c r="F275" s="211">
        <v>2000</v>
      </c>
      <c r="G275" s="211">
        <v>2000</v>
      </c>
      <c r="H275" s="210">
        <v>3500</v>
      </c>
      <c r="I275" s="211">
        <v>3500</v>
      </c>
      <c r="J275" s="211">
        <v>3500</v>
      </c>
    </row>
    <row r="276" spans="1:10" x14ac:dyDescent="0.2">
      <c r="A276" s="207">
        <v>280</v>
      </c>
      <c r="B276" s="129" t="s">
        <v>233</v>
      </c>
      <c r="C276" s="129"/>
      <c r="D276" s="129"/>
      <c r="E276" s="211">
        <v>0</v>
      </c>
      <c r="F276" s="211">
        <v>1500</v>
      </c>
      <c r="G276" s="211">
        <v>1500</v>
      </c>
      <c r="H276" s="210">
        <v>0</v>
      </c>
      <c r="I276" s="211">
        <v>0</v>
      </c>
      <c r="J276" s="211">
        <v>0</v>
      </c>
    </row>
    <row r="277" spans="1:10" ht="15" customHeight="1" x14ac:dyDescent="0.2">
      <c r="A277" s="156" t="s">
        <v>298</v>
      </c>
      <c r="B277" s="156"/>
      <c r="C277" s="156"/>
      <c r="D277" s="156"/>
      <c r="E277" s="157">
        <f t="shared" ref="E277:J277" si="44">SUM(E267:E276)</f>
        <v>56299.41</v>
      </c>
      <c r="F277" s="264">
        <f t="shared" si="44"/>
        <v>80200</v>
      </c>
      <c r="G277" s="157">
        <f t="shared" si="44"/>
        <v>80200</v>
      </c>
      <c r="H277" s="157">
        <f t="shared" si="44"/>
        <v>78200</v>
      </c>
      <c r="I277" s="157">
        <f t="shared" si="44"/>
        <v>78200</v>
      </c>
      <c r="J277" s="157">
        <f t="shared" si="44"/>
        <v>78200</v>
      </c>
    </row>
    <row r="278" spans="1:10" ht="18" customHeight="1" x14ac:dyDescent="0.2">
      <c r="A278" s="159" t="s">
        <v>299</v>
      </c>
      <c r="B278" s="159"/>
      <c r="C278" s="159"/>
      <c r="D278" s="159"/>
      <c r="E278" s="160">
        <f t="shared" ref="E278:J278" si="45">SUM(E265,E277)</f>
        <v>124127.08</v>
      </c>
      <c r="F278" s="160">
        <f t="shared" si="45"/>
        <v>170000</v>
      </c>
      <c r="G278" s="160">
        <f t="shared" si="45"/>
        <v>170000</v>
      </c>
      <c r="H278" s="160">
        <f t="shared" si="45"/>
        <v>168000</v>
      </c>
      <c r="I278" s="160">
        <f t="shared" si="45"/>
        <v>168000</v>
      </c>
      <c r="J278" s="160">
        <f t="shared" si="45"/>
        <v>168000</v>
      </c>
    </row>
    <row r="279" spans="1:10" ht="15.75" customHeight="1" x14ac:dyDescent="0.2">
      <c r="A279" s="289"/>
      <c r="B279" s="289"/>
      <c r="C279" s="289"/>
      <c r="D279" s="289"/>
      <c r="E279" s="289"/>
      <c r="F279" s="289"/>
      <c r="G279" s="289"/>
      <c r="H279" s="289"/>
      <c r="I279" s="289"/>
      <c r="J279" s="289"/>
    </row>
    <row r="280" spans="1:10" ht="17.25" customHeight="1" x14ac:dyDescent="0.2">
      <c r="A280" s="162" t="s">
        <v>15</v>
      </c>
      <c r="B280" s="162"/>
      <c r="C280" s="162"/>
      <c r="D280" s="162"/>
      <c r="E280" s="162"/>
      <c r="F280" s="162"/>
      <c r="G280" s="162"/>
      <c r="H280" s="162"/>
      <c r="I280" s="162"/>
      <c r="J280" s="162"/>
    </row>
    <row r="281" spans="1:10" ht="15.6" customHeight="1" x14ac:dyDescent="0.2">
      <c r="A281" s="131" t="s">
        <v>242</v>
      </c>
      <c r="B281" s="131"/>
      <c r="C281" s="131"/>
      <c r="D281" s="131"/>
      <c r="E281" s="128" t="str">
        <f t="shared" ref="E281:J281" si="46">E19</f>
        <v>Actuals           2014-2015</v>
      </c>
      <c r="F281" s="128" t="str">
        <f t="shared" si="46"/>
        <v>Approved Estimates          2015-2016</v>
      </c>
      <c r="G281" s="128" t="str">
        <f t="shared" si="46"/>
        <v>Revised Estimates                 2015-2016</v>
      </c>
      <c r="H281" s="128" t="str">
        <f t="shared" si="46"/>
        <v>Budget Estimates      2016-2017</v>
      </c>
      <c r="I281" s="128" t="str">
        <f t="shared" si="46"/>
        <v>Forward Estimates     2017-2018</v>
      </c>
      <c r="J281" s="128" t="str">
        <f t="shared" si="46"/>
        <v>Forward Estimates     2018-2019</v>
      </c>
    </row>
    <row r="282" spans="1:10" ht="18.75" customHeight="1" x14ac:dyDescent="0.2">
      <c r="A282" s="130" t="s">
        <v>243</v>
      </c>
      <c r="B282" s="130" t="s">
        <v>244</v>
      </c>
      <c r="C282" s="131" t="s">
        <v>245</v>
      </c>
      <c r="D282" s="131"/>
      <c r="E282" s="101"/>
      <c r="F282" s="101"/>
      <c r="G282" s="101"/>
      <c r="H282" s="101"/>
      <c r="I282" s="101"/>
      <c r="J282" s="101"/>
    </row>
    <row r="283" spans="1:10" x14ac:dyDescent="0.2">
      <c r="A283" s="163"/>
      <c r="B283" s="163"/>
      <c r="C283" s="156"/>
      <c r="D283" s="156"/>
      <c r="E283" s="158"/>
      <c r="F283" s="209"/>
      <c r="G283" s="158"/>
      <c r="H283" s="136"/>
      <c r="I283" s="158"/>
      <c r="J283" s="135"/>
    </row>
    <row r="284" spans="1:10" x14ac:dyDescent="0.2">
      <c r="A284" s="137" t="s">
        <v>15</v>
      </c>
      <c r="B284" s="137"/>
      <c r="C284" s="137"/>
      <c r="D284" s="137"/>
      <c r="E284" s="138">
        <v>0</v>
      </c>
      <c r="F284" s="138">
        <v>0</v>
      </c>
      <c r="G284" s="138">
        <v>0</v>
      </c>
      <c r="H284" s="138">
        <v>0</v>
      </c>
      <c r="I284" s="138">
        <v>0</v>
      </c>
      <c r="J284" s="138">
        <v>0</v>
      </c>
    </row>
    <row r="285" spans="1:10" x14ac:dyDescent="0.2">
      <c r="A285" s="290"/>
      <c r="B285" s="290"/>
      <c r="C285" s="290"/>
      <c r="D285" s="290"/>
      <c r="E285" s="290"/>
      <c r="F285" s="290"/>
      <c r="G285" s="290"/>
      <c r="H285" s="290"/>
      <c r="I285" s="290"/>
      <c r="J285" s="290"/>
    </row>
    <row r="286" spans="1:10" x14ac:dyDescent="0.2">
      <c r="A286" s="161" t="s">
        <v>288</v>
      </c>
      <c r="B286" s="161"/>
      <c r="C286" s="161"/>
      <c r="D286" s="161"/>
      <c r="E286" s="161"/>
      <c r="F286" s="202"/>
      <c r="G286" s="202"/>
      <c r="H286" s="202"/>
      <c r="I286" s="202"/>
      <c r="J286" s="202"/>
    </row>
    <row r="287" spans="1:10" ht="15" customHeight="1" x14ac:dyDescent="0.2">
      <c r="A287" s="131" t="s">
        <v>300</v>
      </c>
      <c r="B287" s="131"/>
      <c r="C287" s="131"/>
      <c r="D287" s="132" t="s">
        <v>301</v>
      </c>
      <c r="E287" s="291" t="s">
        <v>302</v>
      </c>
      <c r="F287" s="292"/>
      <c r="G287" s="220"/>
      <c r="H287" s="220"/>
      <c r="I287" s="220"/>
      <c r="J287" s="221"/>
    </row>
    <row r="288" spans="1:10" x14ac:dyDescent="0.2">
      <c r="A288" s="134"/>
      <c r="B288" s="134"/>
      <c r="C288" s="134"/>
      <c r="D288" s="133"/>
      <c r="E288" s="268"/>
      <c r="F288" s="293"/>
      <c r="G288" s="171"/>
      <c r="H288" s="171"/>
      <c r="I288" s="171"/>
      <c r="J288" s="174"/>
    </row>
    <row r="289" spans="1:10" ht="15" customHeight="1" x14ac:dyDescent="0.2">
      <c r="A289" s="134"/>
      <c r="B289" s="134"/>
      <c r="C289" s="134"/>
      <c r="D289" s="133"/>
      <c r="E289" s="268"/>
      <c r="F289" s="293"/>
      <c r="G289" s="171"/>
      <c r="H289" s="171"/>
      <c r="I289" s="171"/>
      <c r="J289" s="174"/>
    </row>
    <row r="290" spans="1:10" ht="15" customHeight="1" x14ac:dyDescent="0.2">
      <c r="A290" s="159" t="s">
        <v>303</v>
      </c>
      <c r="B290" s="159"/>
      <c r="C290" s="159"/>
      <c r="D290" s="159"/>
      <c r="E290" s="294">
        <f>SUM(E288:E289)</f>
        <v>0</v>
      </c>
      <c r="F290" s="295"/>
      <c r="G290" s="177"/>
      <c r="H290" s="177"/>
      <c r="I290" s="177"/>
      <c r="J290" s="178"/>
    </row>
    <row r="291" spans="1:10" x14ac:dyDescent="0.2">
      <c r="A291" s="129"/>
      <c r="B291" s="129"/>
      <c r="C291" s="129"/>
      <c r="D291" s="129"/>
      <c r="E291" s="129"/>
      <c r="F291" s="179"/>
      <c r="G291" s="179"/>
      <c r="H291" s="179"/>
      <c r="I291" s="179"/>
      <c r="J291" s="179"/>
    </row>
    <row r="292" spans="1:10" x14ac:dyDescent="0.2">
      <c r="A292" s="180" t="s">
        <v>304</v>
      </c>
      <c r="B292" s="180"/>
      <c r="C292" s="180"/>
      <c r="D292" s="180"/>
      <c r="E292" s="180"/>
      <c r="F292" s="180"/>
      <c r="G292" s="180"/>
      <c r="H292" s="180"/>
      <c r="I292" s="180"/>
      <c r="J292" s="180"/>
    </row>
    <row r="293" spans="1:10" x14ac:dyDescent="0.2">
      <c r="A293" s="181" t="s">
        <v>305</v>
      </c>
      <c r="B293" s="181"/>
      <c r="C293" s="181"/>
      <c r="D293" s="181"/>
      <c r="E293" s="181"/>
      <c r="F293" s="181"/>
      <c r="G293" s="181"/>
      <c r="H293" s="181"/>
      <c r="I293" s="181"/>
      <c r="J293" s="181"/>
    </row>
    <row r="294" spans="1:10" x14ac:dyDescent="0.2">
      <c r="A294" s="182" t="s">
        <v>578</v>
      </c>
      <c r="B294" s="129"/>
      <c r="C294" s="129"/>
      <c r="D294" s="129"/>
      <c r="E294" s="129"/>
      <c r="F294" s="129"/>
      <c r="G294" s="129"/>
      <c r="H294" s="129"/>
      <c r="I294" s="129"/>
      <c r="J294" s="129"/>
    </row>
    <row r="295" spans="1:10" ht="23.25" customHeight="1" x14ac:dyDescent="0.2">
      <c r="A295" s="129" t="s">
        <v>579</v>
      </c>
      <c r="B295" s="129"/>
      <c r="C295" s="129"/>
      <c r="D295" s="129"/>
      <c r="E295" s="129"/>
      <c r="F295" s="129"/>
      <c r="G295" s="129"/>
      <c r="H295" s="129"/>
      <c r="I295" s="129"/>
      <c r="J295" s="129"/>
    </row>
    <row r="296" spans="1:10" x14ac:dyDescent="0.2">
      <c r="A296" s="129"/>
      <c r="B296" s="129"/>
      <c r="C296" s="129"/>
      <c r="D296" s="129"/>
      <c r="E296" s="129"/>
      <c r="F296" s="129"/>
      <c r="G296" s="129"/>
      <c r="H296" s="129"/>
      <c r="I296" s="129"/>
      <c r="J296" s="129"/>
    </row>
    <row r="297" spans="1:10" x14ac:dyDescent="0.2">
      <c r="A297" s="129"/>
      <c r="B297" s="129"/>
      <c r="C297" s="129"/>
      <c r="D297" s="129"/>
      <c r="E297" s="129"/>
      <c r="F297" s="129"/>
      <c r="G297" s="129"/>
      <c r="H297" s="129"/>
      <c r="I297" s="129"/>
      <c r="J297" s="129"/>
    </row>
    <row r="298" spans="1:10" x14ac:dyDescent="0.2">
      <c r="A298" s="183" t="s">
        <v>415</v>
      </c>
      <c r="B298" s="183"/>
      <c r="C298" s="183"/>
      <c r="D298" s="183"/>
      <c r="E298" s="183"/>
      <c r="F298" s="183"/>
      <c r="G298" s="183"/>
      <c r="H298" s="183"/>
      <c r="I298" s="183"/>
      <c r="J298" s="183"/>
    </row>
    <row r="299" spans="1:10" x14ac:dyDescent="0.2">
      <c r="A299" s="129"/>
      <c r="B299" s="129"/>
      <c r="C299" s="129"/>
      <c r="D299" s="129"/>
      <c r="E299" s="129"/>
      <c r="F299" s="129"/>
      <c r="G299" s="129"/>
      <c r="H299" s="129"/>
      <c r="I299" s="129"/>
      <c r="J299" s="129"/>
    </row>
    <row r="300" spans="1:10" x14ac:dyDescent="0.2">
      <c r="A300" s="129"/>
      <c r="B300" s="129"/>
      <c r="C300" s="129"/>
      <c r="D300" s="129"/>
      <c r="E300" s="129"/>
      <c r="F300" s="129"/>
      <c r="G300" s="129"/>
      <c r="H300" s="129"/>
      <c r="I300" s="129"/>
      <c r="J300" s="129"/>
    </row>
    <row r="301" spans="1:10" ht="22.5" x14ac:dyDescent="0.2">
      <c r="A301" s="180" t="s">
        <v>315</v>
      </c>
      <c r="B301" s="180"/>
      <c r="C301" s="180"/>
      <c r="D301" s="180"/>
      <c r="E301" s="180"/>
      <c r="F301" s="184" t="s">
        <v>532</v>
      </c>
      <c r="G301" s="184" t="s">
        <v>533</v>
      </c>
      <c r="H301" s="184" t="s">
        <v>534</v>
      </c>
      <c r="I301" s="184" t="s">
        <v>535</v>
      </c>
      <c r="J301" s="184" t="s">
        <v>536</v>
      </c>
    </row>
    <row r="302" spans="1:10" x14ac:dyDescent="0.2">
      <c r="A302" s="180" t="s">
        <v>316</v>
      </c>
      <c r="B302" s="180"/>
      <c r="C302" s="180"/>
      <c r="D302" s="180"/>
      <c r="E302" s="180"/>
      <c r="F302" s="180"/>
      <c r="G302" s="180"/>
      <c r="H302" s="180"/>
      <c r="I302" s="180"/>
      <c r="J302" s="180"/>
    </row>
    <row r="303" spans="1:10" x14ac:dyDescent="0.2">
      <c r="A303" s="188" t="s">
        <v>580</v>
      </c>
      <c r="B303" s="188"/>
      <c r="C303" s="188"/>
      <c r="D303" s="188"/>
      <c r="E303" s="188"/>
      <c r="F303" s="272">
        <v>0</v>
      </c>
      <c r="G303" s="191">
        <v>25</v>
      </c>
      <c r="H303" s="191">
        <v>25</v>
      </c>
      <c r="I303" s="191">
        <v>25</v>
      </c>
      <c r="J303" s="191">
        <v>25</v>
      </c>
    </row>
    <row r="304" spans="1:10" x14ac:dyDescent="0.2">
      <c r="A304" s="188" t="s">
        <v>581</v>
      </c>
      <c r="B304" s="188"/>
      <c r="C304" s="188"/>
      <c r="D304" s="188"/>
      <c r="E304" s="188"/>
      <c r="F304" s="272">
        <v>0</v>
      </c>
      <c r="G304" s="191">
        <v>6</v>
      </c>
      <c r="H304" s="191">
        <v>6</v>
      </c>
      <c r="I304" s="191">
        <v>6</v>
      </c>
      <c r="J304" s="191">
        <v>6</v>
      </c>
    </row>
    <row r="305" spans="1:10" x14ac:dyDescent="0.2">
      <c r="A305" s="188" t="s">
        <v>582</v>
      </c>
      <c r="B305" s="188"/>
      <c r="C305" s="188"/>
      <c r="D305" s="188"/>
      <c r="E305" s="188"/>
      <c r="F305" s="272">
        <v>0</v>
      </c>
      <c r="G305" s="191">
        <v>0</v>
      </c>
      <c r="H305" s="191">
        <v>4</v>
      </c>
      <c r="I305" s="191">
        <v>8</v>
      </c>
      <c r="J305" s="191">
        <v>8</v>
      </c>
    </row>
    <row r="306" spans="1:10" x14ac:dyDescent="0.2">
      <c r="A306" s="188"/>
      <c r="B306" s="188"/>
      <c r="C306" s="188"/>
      <c r="D306" s="188"/>
      <c r="E306" s="188"/>
      <c r="F306" s="273"/>
      <c r="G306" s="190"/>
      <c r="H306" s="190"/>
      <c r="I306" s="190"/>
      <c r="J306" s="190"/>
    </row>
    <row r="307" spans="1:10" ht="21" customHeight="1" x14ac:dyDescent="0.2">
      <c r="A307" s="180" t="s">
        <v>324</v>
      </c>
      <c r="B307" s="180"/>
      <c r="C307" s="180"/>
      <c r="D307" s="180"/>
      <c r="E307" s="180"/>
      <c r="F307" s="180"/>
      <c r="G307" s="180"/>
      <c r="H307" s="180"/>
      <c r="I307" s="180"/>
      <c r="J307" s="180"/>
    </row>
    <row r="308" spans="1:10" x14ac:dyDescent="0.2">
      <c r="A308" s="188" t="s">
        <v>583</v>
      </c>
      <c r="B308" s="188"/>
      <c r="C308" s="188"/>
      <c r="D308" s="188"/>
      <c r="E308" s="188"/>
      <c r="F308" s="272">
        <v>0</v>
      </c>
      <c r="G308" s="191">
        <v>2000</v>
      </c>
      <c r="H308" s="191">
        <v>2000</v>
      </c>
      <c r="I308" s="191">
        <v>2000</v>
      </c>
      <c r="J308" s="191">
        <v>2000</v>
      </c>
    </row>
    <row r="309" spans="1:10" x14ac:dyDescent="0.2">
      <c r="A309" s="188" t="s">
        <v>584</v>
      </c>
      <c r="B309" s="188"/>
      <c r="C309" s="188"/>
      <c r="D309" s="188"/>
      <c r="E309" s="188"/>
      <c r="F309" s="272">
        <v>0</v>
      </c>
      <c r="G309" s="191">
        <v>500</v>
      </c>
      <c r="H309" s="191">
        <v>500</v>
      </c>
      <c r="I309" s="191">
        <v>500</v>
      </c>
      <c r="J309" s="191">
        <v>500</v>
      </c>
    </row>
    <row r="310" spans="1:10" x14ac:dyDescent="0.2">
      <c r="A310" s="188" t="s">
        <v>585</v>
      </c>
      <c r="B310" s="188"/>
      <c r="C310" s="188"/>
      <c r="D310" s="188"/>
      <c r="E310" s="188"/>
      <c r="F310" s="272">
        <v>0</v>
      </c>
      <c r="G310" s="191">
        <v>0</v>
      </c>
      <c r="H310" s="191">
        <v>200</v>
      </c>
      <c r="I310" s="191">
        <v>200</v>
      </c>
      <c r="J310" s="191">
        <v>200</v>
      </c>
    </row>
    <row r="312" spans="1:10" x14ac:dyDescent="0.2">
      <c r="A312" s="222"/>
      <c r="B312" s="222"/>
      <c r="C312" s="222"/>
      <c r="D312" s="222"/>
      <c r="E312" s="274" t="s">
        <v>382</v>
      </c>
      <c r="F312" s="229"/>
      <c r="G312" s="222"/>
      <c r="H312" s="222"/>
      <c r="I312" s="222"/>
      <c r="J312" s="223" t="s">
        <v>383</v>
      </c>
    </row>
    <row r="313" spans="1:10" ht="34.5" thickBot="1" x14ac:dyDescent="0.25">
      <c r="A313" s="224"/>
      <c r="B313" s="224" t="s">
        <v>188</v>
      </c>
      <c r="C313" s="225"/>
      <c r="D313" s="226"/>
      <c r="E313" s="184" t="str">
        <f t="shared" ref="E313:J313" si="47">E19</f>
        <v>Actuals           2014-2015</v>
      </c>
      <c r="F313" s="184" t="str">
        <f t="shared" si="47"/>
        <v>Approved Estimates          2015-2016</v>
      </c>
      <c r="G313" s="184" t="str">
        <f t="shared" si="47"/>
        <v>Revised Estimates                 2015-2016</v>
      </c>
      <c r="H313" s="184" t="str">
        <f t="shared" si="47"/>
        <v>Budget Estimates      2016-2017</v>
      </c>
      <c r="I313" s="184" t="str">
        <f t="shared" si="47"/>
        <v>Forward Estimates     2017-2018</v>
      </c>
      <c r="J313" s="184" t="str">
        <f t="shared" si="47"/>
        <v>Forward Estimates     2018-2019</v>
      </c>
    </row>
    <row r="314" spans="1:10" x14ac:dyDescent="0.2">
      <c r="A314" s="229" t="s">
        <v>7</v>
      </c>
      <c r="B314" s="229"/>
      <c r="C314" s="229"/>
      <c r="D314" s="229"/>
      <c r="E314" s="222"/>
      <c r="F314" s="230"/>
      <c r="G314" s="230"/>
      <c r="H314" s="230"/>
      <c r="I314" s="222"/>
      <c r="J314" s="222"/>
    </row>
    <row r="315" spans="1:10" x14ac:dyDescent="0.2">
      <c r="A315" s="222"/>
      <c r="B315" s="222" t="s">
        <v>129</v>
      </c>
      <c r="C315" s="222"/>
      <c r="D315" s="222"/>
      <c r="E315" s="231">
        <f t="shared" ref="E315:J315" si="48">E64</f>
        <v>448707.82</v>
      </c>
      <c r="F315" s="231">
        <f t="shared" si="48"/>
        <v>548100</v>
      </c>
      <c r="G315" s="231">
        <f t="shared" si="48"/>
        <v>548100</v>
      </c>
      <c r="H315" s="231">
        <f t="shared" si="48"/>
        <v>606400</v>
      </c>
      <c r="I315" s="231">
        <f t="shared" si="48"/>
        <v>610500</v>
      </c>
      <c r="J315" s="231">
        <f t="shared" si="48"/>
        <v>613000</v>
      </c>
    </row>
    <row r="316" spans="1:10" x14ac:dyDescent="0.2">
      <c r="A316" s="222"/>
      <c r="B316" s="222" t="s">
        <v>100</v>
      </c>
      <c r="C316" s="222"/>
      <c r="D316" s="222"/>
      <c r="E316" s="232">
        <f t="shared" ref="E316:J316" si="49">E131</f>
        <v>57312</v>
      </c>
      <c r="F316" s="232">
        <f t="shared" si="49"/>
        <v>57400</v>
      </c>
      <c r="G316" s="232">
        <f t="shared" si="49"/>
        <v>57400</v>
      </c>
      <c r="H316" s="232">
        <f t="shared" si="49"/>
        <v>109900</v>
      </c>
      <c r="I316" s="232">
        <f t="shared" si="49"/>
        <v>111500</v>
      </c>
      <c r="J316" s="232">
        <f t="shared" si="49"/>
        <v>113100</v>
      </c>
    </row>
    <row r="317" spans="1:10" x14ac:dyDescent="0.2">
      <c r="A317" s="233"/>
      <c r="B317" s="233" t="s">
        <v>102</v>
      </c>
      <c r="C317" s="233"/>
      <c r="D317" s="233"/>
      <c r="E317" s="234">
        <f t="shared" ref="E317:J317" si="50">E191</f>
        <v>598227.06999999995</v>
      </c>
      <c r="F317" s="234">
        <f t="shared" si="50"/>
        <v>778400</v>
      </c>
      <c r="G317" s="234">
        <f t="shared" si="50"/>
        <v>778400</v>
      </c>
      <c r="H317" s="234">
        <f t="shared" si="50"/>
        <v>0</v>
      </c>
      <c r="I317" s="234">
        <f t="shared" si="50"/>
        <v>0</v>
      </c>
      <c r="J317" s="234">
        <f t="shared" si="50"/>
        <v>0</v>
      </c>
    </row>
    <row r="318" spans="1:10" x14ac:dyDescent="0.2">
      <c r="A318" s="233"/>
      <c r="B318" s="233" t="s">
        <v>103</v>
      </c>
      <c r="C318" s="233"/>
      <c r="D318" s="233"/>
      <c r="E318" s="234">
        <f t="shared" ref="E318:J318" si="51">E261</f>
        <v>0</v>
      </c>
      <c r="F318" s="234">
        <f t="shared" si="51"/>
        <v>0</v>
      </c>
      <c r="G318" s="234">
        <f t="shared" si="51"/>
        <v>0</v>
      </c>
      <c r="H318" s="234">
        <f t="shared" si="51"/>
        <v>0</v>
      </c>
      <c r="I318" s="234">
        <f t="shared" si="51"/>
        <v>0</v>
      </c>
      <c r="J318" s="234">
        <f t="shared" si="51"/>
        <v>0</v>
      </c>
    </row>
    <row r="319" spans="1:10" ht="15" thickBot="1" x14ac:dyDescent="0.25">
      <c r="A319" s="222"/>
      <c r="B319" s="222"/>
      <c r="C319" s="229" t="s">
        <v>385</v>
      </c>
      <c r="D319" s="235"/>
      <c r="E319" s="236">
        <f t="shared" ref="E319:J319" si="52">SUM(E315:E318)</f>
        <v>1104246.8899999999</v>
      </c>
      <c r="F319" s="236">
        <f t="shared" si="52"/>
        <v>1383900</v>
      </c>
      <c r="G319" s="236">
        <f t="shared" si="52"/>
        <v>1383900</v>
      </c>
      <c r="H319" s="236">
        <f t="shared" si="52"/>
        <v>716300</v>
      </c>
      <c r="I319" s="236">
        <f t="shared" si="52"/>
        <v>722000</v>
      </c>
      <c r="J319" s="236">
        <f t="shared" si="52"/>
        <v>726100</v>
      </c>
    </row>
    <row r="320" spans="1:10" x14ac:dyDescent="0.2">
      <c r="A320" s="237" t="s">
        <v>196</v>
      </c>
      <c r="B320" s="237"/>
      <c r="C320" s="233"/>
      <c r="D320" s="238"/>
      <c r="E320" s="242"/>
      <c r="F320" s="242"/>
      <c r="G320" s="242"/>
      <c r="H320" s="227"/>
      <c r="I320" s="227"/>
      <c r="J320" s="227"/>
    </row>
    <row r="321" spans="1:10" x14ac:dyDescent="0.2">
      <c r="A321" s="222"/>
      <c r="B321" s="222" t="s">
        <v>129</v>
      </c>
      <c r="C321" s="222"/>
      <c r="D321" s="238"/>
      <c r="E321" s="231">
        <f t="shared" ref="E321:J321" si="53">E65</f>
        <v>0</v>
      </c>
      <c r="F321" s="231">
        <f t="shared" si="53"/>
        <v>0</v>
      </c>
      <c r="G321" s="231">
        <f t="shared" si="53"/>
        <v>0</v>
      </c>
      <c r="H321" s="231">
        <f t="shared" si="53"/>
        <v>0</v>
      </c>
      <c r="I321" s="231">
        <f t="shared" si="53"/>
        <v>0</v>
      </c>
      <c r="J321" s="231">
        <f t="shared" si="53"/>
        <v>0</v>
      </c>
    </row>
    <row r="322" spans="1:10" x14ac:dyDescent="0.2">
      <c r="A322" s="222"/>
      <c r="B322" s="222" t="s">
        <v>100</v>
      </c>
      <c r="C322" s="222"/>
      <c r="D322" s="238"/>
      <c r="E322" s="232">
        <f t="shared" ref="E322:J322" si="54">E132</f>
        <v>29200</v>
      </c>
      <c r="F322" s="232">
        <f t="shared" si="54"/>
        <v>150000</v>
      </c>
      <c r="G322" s="232">
        <f t="shared" si="54"/>
        <v>150000</v>
      </c>
      <c r="H322" s="232">
        <f t="shared" si="54"/>
        <v>75000</v>
      </c>
      <c r="I322" s="232">
        <f t="shared" si="54"/>
        <v>75000</v>
      </c>
      <c r="J322" s="232">
        <f t="shared" si="54"/>
        <v>75000</v>
      </c>
    </row>
    <row r="323" spans="1:10" x14ac:dyDescent="0.2">
      <c r="A323" s="222"/>
      <c r="B323" s="222" t="s">
        <v>102</v>
      </c>
      <c r="C323" s="222"/>
      <c r="D323" s="238"/>
      <c r="E323" s="234">
        <f t="shared" ref="E323:J323" si="55">E192</f>
        <v>10920</v>
      </c>
      <c r="F323" s="234">
        <f t="shared" si="55"/>
        <v>11000</v>
      </c>
      <c r="G323" s="234">
        <f t="shared" si="55"/>
        <v>11000</v>
      </c>
      <c r="H323" s="234">
        <f t="shared" si="55"/>
        <v>0</v>
      </c>
      <c r="I323" s="234">
        <f t="shared" si="55"/>
        <v>0</v>
      </c>
      <c r="J323" s="234">
        <f t="shared" si="55"/>
        <v>0</v>
      </c>
    </row>
    <row r="324" spans="1:10" x14ac:dyDescent="0.2">
      <c r="A324" s="222"/>
      <c r="B324" s="233" t="s">
        <v>103</v>
      </c>
      <c r="C324" s="222"/>
      <c r="D324" s="238"/>
      <c r="E324" s="234">
        <f t="shared" ref="E324:J324" si="56">E262</f>
        <v>67827.67</v>
      </c>
      <c r="F324" s="234">
        <f t="shared" si="56"/>
        <v>89800</v>
      </c>
      <c r="G324" s="234">
        <f t="shared" si="56"/>
        <v>89800</v>
      </c>
      <c r="H324" s="234">
        <f t="shared" si="56"/>
        <v>89800</v>
      </c>
      <c r="I324" s="234">
        <f t="shared" si="56"/>
        <v>89800</v>
      </c>
      <c r="J324" s="234">
        <f t="shared" si="56"/>
        <v>89800</v>
      </c>
    </row>
    <row r="325" spans="1:10" ht="15" thickBot="1" x14ac:dyDescent="0.25">
      <c r="A325" s="229"/>
      <c r="B325" s="229"/>
      <c r="C325" s="229" t="s">
        <v>386</v>
      </c>
      <c r="D325" s="239"/>
      <c r="E325" s="236">
        <f t="shared" ref="E325:J325" si="57">SUM(E321:E324)</f>
        <v>107947.67</v>
      </c>
      <c r="F325" s="236">
        <f t="shared" si="57"/>
        <v>250800</v>
      </c>
      <c r="G325" s="236">
        <f t="shared" si="57"/>
        <v>250800</v>
      </c>
      <c r="H325" s="236">
        <f t="shared" si="57"/>
        <v>164800</v>
      </c>
      <c r="I325" s="236">
        <f t="shared" si="57"/>
        <v>164800</v>
      </c>
      <c r="J325" s="236">
        <f t="shared" si="57"/>
        <v>164800</v>
      </c>
    </row>
    <row r="326" spans="1:10" x14ac:dyDescent="0.2">
      <c r="A326" s="229" t="s">
        <v>387</v>
      </c>
      <c r="B326" s="222"/>
      <c r="C326" s="222"/>
      <c r="D326" s="240"/>
      <c r="E326" s="241"/>
      <c r="F326" s="241"/>
      <c r="G326" s="241"/>
      <c r="H326" s="241"/>
      <c r="I326" s="241"/>
      <c r="J326" s="241"/>
    </row>
    <row r="327" spans="1:10" x14ac:dyDescent="0.2">
      <c r="A327" s="222"/>
      <c r="B327" s="222" t="s">
        <v>129</v>
      </c>
      <c r="C327" s="222"/>
      <c r="D327" s="238"/>
      <c r="E327" s="231">
        <f t="shared" ref="E327:J327" si="58">E66</f>
        <v>165178.9</v>
      </c>
      <c r="F327" s="231">
        <f t="shared" si="58"/>
        <v>185200</v>
      </c>
      <c r="G327" s="231">
        <f t="shared" si="58"/>
        <v>185200</v>
      </c>
      <c r="H327" s="231">
        <f t="shared" si="58"/>
        <v>185200</v>
      </c>
      <c r="I327" s="231">
        <f t="shared" si="58"/>
        <v>185200</v>
      </c>
      <c r="J327" s="231">
        <f t="shared" si="58"/>
        <v>185200</v>
      </c>
    </row>
    <row r="328" spans="1:10" x14ac:dyDescent="0.2">
      <c r="A328" s="222"/>
      <c r="B328" s="222" t="s">
        <v>100</v>
      </c>
      <c r="C328" s="222"/>
      <c r="D328" s="240"/>
      <c r="E328" s="232">
        <f t="shared" ref="E328:J328" si="59">E133</f>
        <v>0</v>
      </c>
      <c r="F328" s="232">
        <f t="shared" si="59"/>
        <v>0</v>
      </c>
      <c r="G328" s="232">
        <f t="shared" si="59"/>
        <v>0</v>
      </c>
      <c r="H328" s="232">
        <f t="shared" si="59"/>
        <v>9600</v>
      </c>
      <c r="I328" s="232">
        <f t="shared" si="59"/>
        <v>9600</v>
      </c>
      <c r="J328" s="232">
        <f t="shared" si="59"/>
        <v>9600</v>
      </c>
    </row>
    <row r="329" spans="1:10" x14ac:dyDescent="0.2">
      <c r="A329" s="222"/>
      <c r="B329" s="222" t="s">
        <v>102</v>
      </c>
      <c r="C329" s="222"/>
      <c r="D329" s="238"/>
      <c r="E329" s="234">
        <f t="shared" ref="E329:J329" si="60">E193</f>
        <v>279791.12</v>
      </c>
      <c r="F329" s="234">
        <f t="shared" si="60"/>
        <v>190200</v>
      </c>
      <c r="G329" s="234">
        <f t="shared" si="60"/>
        <v>190200</v>
      </c>
      <c r="H329" s="234">
        <f t="shared" si="60"/>
        <v>0</v>
      </c>
      <c r="I329" s="234">
        <f t="shared" si="60"/>
        <v>0</v>
      </c>
      <c r="J329" s="234">
        <f t="shared" si="60"/>
        <v>0</v>
      </c>
    </row>
    <row r="330" spans="1:10" x14ac:dyDescent="0.2">
      <c r="A330" s="222"/>
      <c r="B330" s="233" t="s">
        <v>103</v>
      </c>
      <c r="C330" s="222"/>
      <c r="D330" s="238"/>
      <c r="E330" s="234">
        <f t="shared" ref="E330:J330" si="61">E263</f>
        <v>0</v>
      </c>
      <c r="F330" s="234">
        <f t="shared" si="61"/>
        <v>0</v>
      </c>
      <c r="G330" s="234">
        <f t="shared" si="61"/>
        <v>0</v>
      </c>
      <c r="H330" s="234">
        <f t="shared" si="61"/>
        <v>0</v>
      </c>
      <c r="I330" s="234">
        <f t="shared" si="61"/>
        <v>0</v>
      </c>
      <c r="J330" s="234">
        <f t="shared" si="61"/>
        <v>0</v>
      </c>
    </row>
    <row r="331" spans="1:10" x14ac:dyDescent="0.2">
      <c r="A331" s="222"/>
      <c r="B331" s="222"/>
      <c r="C331" s="229" t="s">
        <v>388</v>
      </c>
      <c r="D331" s="240"/>
      <c r="E331" s="236">
        <f t="shared" ref="E331:J331" si="62">SUM(E327:E330)</f>
        <v>444970.02</v>
      </c>
      <c r="F331" s="236">
        <f t="shared" si="62"/>
        <v>375400</v>
      </c>
      <c r="G331" s="236">
        <f t="shared" si="62"/>
        <v>375400</v>
      </c>
      <c r="H331" s="236">
        <f t="shared" si="62"/>
        <v>194800</v>
      </c>
      <c r="I331" s="236">
        <f t="shared" si="62"/>
        <v>194800</v>
      </c>
      <c r="J331" s="236">
        <f t="shared" si="62"/>
        <v>194800</v>
      </c>
    </row>
    <row r="332" spans="1:10" x14ac:dyDescent="0.2">
      <c r="A332" s="229" t="s">
        <v>198</v>
      </c>
      <c r="B332" s="222"/>
      <c r="C332" s="222"/>
      <c r="D332" s="240"/>
      <c r="E332" s="230"/>
      <c r="F332" s="230"/>
      <c r="G332" s="230"/>
      <c r="H332" s="230"/>
      <c r="I332" s="230"/>
      <c r="J332" s="230"/>
    </row>
    <row r="333" spans="1:10" x14ac:dyDescent="0.2">
      <c r="A333" s="222"/>
      <c r="B333" s="222" t="s">
        <v>129</v>
      </c>
      <c r="C333" s="222"/>
      <c r="D333" s="240"/>
      <c r="E333" s="231">
        <f t="shared" ref="E333:J333" si="63">E67</f>
        <v>0</v>
      </c>
      <c r="F333" s="231">
        <f t="shared" si="63"/>
        <v>0</v>
      </c>
      <c r="G333" s="231">
        <f t="shared" si="63"/>
        <v>0</v>
      </c>
      <c r="H333" s="231">
        <f t="shared" si="63"/>
        <v>0</v>
      </c>
      <c r="I333" s="231">
        <f t="shared" si="63"/>
        <v>0</v>
      </c>
      <c r="J333" s="231">
        <f t="shared" si="63"/>
        <v>0</v>
      </c>
    </row>
    <row r="334" spans="1:10" x14ac:dyDescent="0.2">
      <c r="A334" s="222"/>
      <c r="B334" s="222" t="s">
        <v>100</v>
      </c>
      <c r="C334" s="222"/>
      <c r="D334" s="240"/>
      <c r="E334" s="232">
        <f t="shared" ref="E334:J334" si="64">E134</f>
        <v>0</v>
      </c>
      <c r="F334" s="232">
        <f t="shared" si="64"/>
        <v>21500</v>
      </c>
      <c r="G334" s="232">
        <f t="shared" si="64"/>
        <v>21500</v>
      </c>
      <c r="H334" s="232">
        <f t="shared" si="64"/>
        <v>0</v>
      </c>
      <c r="I334" s="232">
        <f t="shared" si="64"/>
        <v>7200</v>
      </c>
      <c r="J334" s="232">
        <f t="shared" si="64"/>
        <v>0</v>
      </c>
    </row>
    <row r="335" spans="1:10" x14ac:dyDescent="0.2">
      <c r="A335" s="222"/>
      <c r="B335" s="222" t="s">
        <v>102</v>
      </c>
      <c r="C335" s="222"/>
      <c r="D335" s="240"/>
      <c r="E335" s="234">
        <f t="shared" ref="E335:J335" si="65">E194</f>
        <v>23562</v>
      </c>
      <c r="F335" s="234">
        <f t="shared" si="65"/>
        <v>44200</v>
      </c>
      <c r="G335" s="234">
        <f t="shared" si="65"/>
        <v>44200</v>
      </c>
      <c r="H335" s="234">
        <f t="shared" si="65"/>
        <v>0</v>
      </c>
      <c r="I335" s="234">
        <f t="shared" si="65"/>
        <v>0</v>
      </c>
      <c r="J335" s="234">
        <f t="shared" si="65"/>
        <v>0</v>
      </c>
    </row>
    <row r="336" spans="1:10" x14ac:dyDescent="0.2">
      <c r="A336" s="222"/>
      <c r="B336" s="233" t="s">
        <v>103</v>
      </c>
      <c r="C336" s="222"/>
      <c r="D336" s="240"/>
      <c r="E336" s="234">
        <f t="shared" ref="E336:J336" si="66">E264</f>
        <v>0</v>
      </c>
      <c r="F336" s="234">
        <f t="shared" si="66"/>
        <v>0</v>
      </c>
      <c r="G336" s="234">
        <f t="shared" si="66"/>
        <v>0</v>
      </c>
      <c r="H336" s="234">
        <f t="shared" si="66"/>
        <v>0</v>
      </c>
      <c r="I336" s="234">
        <f t="shared" si="66"/>
        <v>0</v>
      </c>
      <c r="J336" s="234">
        <f t="shared" si="66"/>
        <v>0</v>
      </c>
    </row>
    <row r="337" spans="1:10" ht="15" thickBot="1" x14ac:dyDescent="0.25">
      <c r="A337" s="222"/>
      <c r="B337" s="222"/>
      <c r="C337" s="229" t="s">
        <v>389</v>
      </c>
      <c r="D337" s="240"/>
      <c r="E337" s="236">
        <f t="shared" ref="E337:J337" si="67">SUM(E333:E336)</f>
        <v>23562</v>
      </c>
      <c r="F337" s="236">
        <f t="shared" si="67"/>
        <v>65700</v>
      </c>
      <c r="G337" s="236">
        <f t="shared" si="67"/>
        <v>65700</v>
      </c>
      <c r="H337" s="236">
        <f t="shared" si="67"/>
        <v>0</v>
      </c>
      <c r="I337" s="236">
        <f t="shared" si="67"/>
        <v>7200</v>
      </c>
      <c r="J337" s="236">
        <f t="shared" si="67"/>
        <v>0</v>
      </c>
    </row>
    <row r="338" spans="1:10" x14ac:dyDescent="0.2">
      <c r="A338" s="229" t="s">
        <v>296</v>
      </c>
      <c r="B338" s="222"/>
      <c r="C338" s="222"/>
      <c r="D338" s="240"/>
      <c r="E338" s="241"/>
      <c r="F338" s="241"/>
      <c r="G338" s="241"/>
      <c r="H338" s="241"/>
      <c r="I338" s="241"/>
      <c r="J338" s="241"/>
    </row>
    <row r="339" spans="1:10" x14ac:dyDescent="0.2">
      <c r="A339" s="233"/>
      <c r="B339" s="233" t="s">
        <v>129</v>
      </c>
      <c r="C339" s="222"/>
      <c r="D339" s="240"/>
      <c r="E339" s="231">
        <f t="shared" ref="E339:J339" si="68">E82</f>
        <v>219049.65999999997</v>
      </c>
      <c r="F339" s="231">
        <f t="shared" si="68"/>
        <v>272900</v>
      </c>
      <c r="G339" s="231">
        <f t="shared" si="68"/>
        <v>272900</v>
      </c>
      <c r="H339" s="231">
        <f t="shared" si="68"/>
        <v>231000</v>
      </c>
      <c r="I339" s="231">
        <f t="shared" si="68"/>
        <v>231000</v>
      </c>
      <c r="J339" s="231">
        <f t="shared" si="68"/>
        <v>231000</v>
      </c>
    </row>
    <row r="340" spans="1:10" x14ac:dyDescent="0.2">
      <c r="A340" s="222"/>
      <c r="B340" s="222" t="s">
        <v>100</v>
      </c>
      <c r="C340" s="222"/>
      <c r="D340" s="240"/>
      <c r="E340" s="232">
        <f t="shared" ref="E340:J340" si="69">E146</f>
        <v>303733.91000000003</v>
      </c>
      <c r="F340" s="232">
        <f t="shared" si="69"/>
        <v>90800</v>
      </c>
      <c r="G340" s="232">
        <f t="shared" si="69"/>
        <v>90800</v>
      </c>
      <c r="H340" s="232">
        <f t="shared" si="69"/>
        <v>88300</v>
      </c>
      <c r="I340" s="232">
        <f t="shared" si="69"/>
        <v>88300</v>
      </c>
      <c r="J340" s="232">
        <f t="shared" si="69"/>
        <v>88300</v>
      </c>
    </row>
    <row r="341" spans="1:10" x14ac:dyDescent="0.2">
      <c r="A341" s="233"/>
      <c r="B341" s="233" t="s">
        <v>102</v>
      </c>
      <c r="C341" s="222"/>
      <c r="D341" s="235"/>
      <c r="E341" s="234">
        <f t="shared" ref="E341:J341" si="70">E209</f>
        <v>171750.37</v>
      </c>
      <c r="F341" s="234">
        <f t="shared" si="70"/>
        <v>253500</v>
      </c>
      <c r="G341" s="234">
        <f t="shared" si="70"/>
        <v>253500</v>
      </c>
      <c r="H341" s="234">
        <f t="shared" si="70"/>
        <v>0</v>
      </c>
      <c r="I341" s="234">
        <f t="shared" si="70"/>
        <v>0</v>
      </c>
      <c r="J341" s="234">
        <f t="shared" si="70"/>
        <v>0</v>
      </c>
    </row>
    <row r="342" spans="1:10" x14ac:dyDescent="0.2">
      <c r="A342" s="233"/>
      <c r="B342" s="233" t="s">
        <v>103</v>
      </c>
      <c r="C342" s="222"/>
      <c r="D342" s="235"/>
      <c r="E342" s="234">
        <f t="shared" ref="E342:J342" si="71">E277</f>
        <v>56299.41</v>
      </c>
      <c r="F342" s="234">
        <f t="shared" si="71"/>
        <v>80200</v>
      </c>
      <c r="G342" s="234">
        <f t="shared" si="71"/>
        <v>80200</v>
      </c>
      <c r="H342" s="234">
        <f t="shared" si="71"/>
        <v>78200</v>
      </c>
      <c r="I342" s="234">
        <f t="shared" si="71"/>
        <v>78200</v>
      </c>
      <c r="J342" s="234">
        <f t="shared" si="71"/>
        <v>78200</v>
      </c>
    </row>
    <row r="343" spans="1:10" ht="15" thickBot="1" x14ac:dyDescent="0.25">
      <c r="A343" s="222"/>
      <c r="B343" s="222"/>
      <c r="C343" s="229" t="s">
        <v>390</v>
      </c>
      <c r="D343" s="240"/>
      <c r="E343" s="236">
        <f t="shared" ref="E343:J343" si="72">SUM(E339:E342)</f>
        <v>750833.35</v>
      </c>
      <c r="F343" s="236">
        <f t="shared" si="72"/>
        <v>697400</v>
      </c>
      <c r="G343" s="236">
        <f t="shared" si="72"/>
        <v>697400</v>
      </c>
      <c r="H343" s="236">
        <f t="shared" si="72"/>
        <v>397500</v>
      </c>
      <c r="I343" s="236">
        <f t="shared" si="72"/>
        <v>397500</v>
      </c>
      <c r="J343" s="236">
        <f t="shared" si="72"/>
        <v>397500</v>
      </c>
    </row>
    <row r="344" spans="1:10" x14ac:dyDescent="0.2">
      <c r="A344" s="229" t="s">
        <v>15</v>
      </c>
      <c r="B344" s="222"/>
      <c r="C344" s="222"/>
      <c r="D344" s="240"/>
      <c r="E344" s="241"/>
      <c r="F344" s="241"/>
      <c r="G344" s="241"/>
      <c r="H344" s="241"/>
      <c r="I344" s="241"/>
      <c r="J344" s="241"/>
    </row>
    <row r="345" spans="1:10" x14ac:dyDescent="0.2">
      <c r="A345" s="233"/>
      <c r="B345" s="233" t="s">
        <v>129</v>
      </c>
      <c r="C345" s="233"/>
      <c r="D345" s="222"/>
      <c r="E345" s="231">
        <f t="shared" ref="E345:J345" si="73">E89</f>
        <v>0</v>
      </c>
      <c r="F345" s="231">
        <f t="shared" si="73"/>
        <v>0</v>
      </c>
      <c r="G345" s="231">
        <f t="shared" si="73"/>
        <v>0</v>
      </c>
      <c r="H345" s="231">
        <f t="shared" si="73"/>
        <v>0</v>
      </c>
      <c r="I345" s="231">
        <f t="shared" si="73"/>
        <v>0</v>
      </c>
      <c r="J345" s="231">
        <f t="shared" si="73"/>
        <v>0</v>
      </c>
    </row>
    <row r="346" spans="1:10" x14ac:dyDescent="0.2">
      <c r="A346" s="233"/>
      <c r="B346" s="222" t="s">
        <v>100</v>
      </c>
      <c r="C346" s="233"/>
      <c r="D346" s="222"/>
      <c r="E346" s="232">
        <f t="shared" ref="E346:J346" si="74">E154</f>
        <v>0</v>
      </c>
      <c r="F346" s="232">
        <f t="shared" si="74"/>
        <v>0</v>
      </c>
      <c r="G346" s="232">
        <f t="shared" si="74"/>
        <v>0</v>
      </c>
      <c r="H346" s="232">
        <f t="shared" si="74"/>
        <v>0</v>
      </c>
      <c r="I346" s="232">
        <f t="shared" si="74"/>
        <v>0</v>
      </c>
      <c r="J346" s="232">
        <f t="shared" si="74"/>
        <v>0</v>
      </c>
    </row>
    <row r="347" spans="1:10" x14ac:dyDescent="0.2">
      <c r="A347" s="233"/>
      <c r="B347" s="233" t="s">
        <v>102</v>
      </c>
      <c r="C347" s="233"/>
      <c r="D347" s="222"/>
      <c r="E347" s="234">
        <f t="shared" ref="E347:J347" si="75">E217</f>
        <v>0</v>
      </c>
      <c r="F347" s="234">
        <f t="shared" si="75"/>
        <v>0</v>
      </c>
      <c r="G347" s="234">
        <f t="shared" si="75"/>
        <v>0</v>
      </c>
      <c r="H347" s="234">
        <f t="shared" si="75"/>
        <v>0</v>
      </c>
      <c r="I347" s="234">
        <f t="shared" si="75"/>
        <v>0</v>
      </c>
      <c r="J347" s="234">
        <f t="shared" si="75"/>
        <v>0</v>
      </c>
    </row>
    <row r="348" spans="1:10" x14ac:dyDescent="0.2">
      <c r="A348" s="233"/>
      <c r="B348" s="233" t="s">
        <v>103</v>
      </c>
      <c r="C348" s="233"/>
      <c r="D348" s="222"/>
      <c r="E348" s="234">
        <f t="shared" ref="E348:J348" si="76">E284</f>
        <v>0</v>
      </c>
      <c r="F348" s="234">
        <f t="shared" si="76"/>
        <v>0</v>
      </c>
      <c r="G348" s="234">
        <f t="shared" si="76"/>
        <v>0</v>
      </c>
      <c r="H348" s="234">
        <f t="shared" si="76"/>
        <v>0</v>
      </c>
      <c r="I348" s="234">
        <f t="shared" si="76"/>
        <v>0</v>
      </c>
      <c r="J348" s="234">
        <f t="shared" si="76"/>
        <v>0</v>
      </c>
    </row>
    <row r="349" spans="1:10" ht="15" thickBot="1" x14ac:dyDescent="0.25">
      <c r="A349" s="243"/>
      <c r="B349" s="243" t="s">
        <v>69</v>
      </c>
      <c r="C349" s="240"/>
      <c r="D349" s="222"/>
      <c r="E349" s="236">
        <f t="shared" ref="E349:J349" si="77">SUM(E345:E348)</f>
        <v>0</v>
      </c>
      <c r="F349" s="236">
        <f t="shared" si="77"/>
        <v>0</v>
      </c>
      <c r="G349" s="236">
        <f t="shared" si="77"/>
        <v>0</v>
      </c>
      <c r="H349" s="236">
        <f t="shared" si="77"/>
        <v>0</v>
      </c>
      <c r="I349" s="236">
        <f t="shared" si="77"/>
        <v>0</v>
      </c>
      <c r="J349" s="236">
        <f t="shared" si="77"/>
        <v>0</v>
      </c>
    </row>
    <row r="350" spans="1:10" x14ac:dyDescent="0.2">
      <c r="A350" s="222"/>
      <c r="B350" s="222"/>
      <c r="C350" s="222"/>
      <c r="D350" s="222"/>
      <c r="E350" s="242"/>
      <c r="F350" s="242"/>
      <c r="G350" s="242"/>
      <c r="H350" s="227"/>
      <c r="I350" s="227"/>
      <c r="J350" s="227"/>
    </row>
    <row r="351" spans="1:10" x14ac:dyDescent="0.2">
      <c r="A351" s="222"/>
      <c r="B351" s="222"/>
      <c r="C351" s="222"/>
      <c r="D351" s="222"/>
      <c r="E351" s="240"/>
      <c r="F351" s="274"/>
      <c r="G351" s="240"/>
      <c r="H351" s="240"/>
      <c r="I351" s="245"/>
      <c r="J351" s="235"/>
    </row>
    <row r="352" spans="1:10" ht="15" thickBot="1" x14ac:dyDescent="0.25">
      <c r="A352" s="222"/>
      <c r="B352" s="222"/>
      <c r="C352" s="222"/>
      <c r="D352" s="222"/>
      <c r="E352" s="240"/>
      <c r="F352" s="276" t="s">
        <v>391</v>
      </c>
      <c r="G352" s="240"/>
      <c r="H352" s="240"/>
      <c r="I352" s="245"/>
      <c r="J352" s="245"/>
    </row>
    <row r="353" spans="1:10" ht="15" thickTop="1" x14ac:dyDescent="0.2">
      <c r="A353" s="246"/>
      <c r="B353" s="246"/>
      <c r="C353" s="246"/>
      <c r="D353" s="246"/>
      <c r="E353" s="246"/>
      <c r="F353" s="277"/>
      <c r="G353" s="246"/>
      <c r="H353" s="246"/>
      <c r="I353" s="246"/>
      <c r="J353" s="246"/>
    </row>
    <row r="354" spans="1:10" x14ac:dyDescent="0.2">
      <c r="A354" s="247"/>
      <c r="B354" s="247">
        <v>210</v>
      </c>
      <c r="C354" s="222" t="s">
        <v>7</v>
      </c>
      <c r="D354" s="222"/>
      <c r="E354" s="231">
        <f t="shared" ref="E354:J369" si="78">SUMIF($A$46:$A$929,$B354,E$46:E$929)</f>
        <v>1104246.8899999999</v>
      </c>
      <c r="F354" s="231">
        <f t="shared" si="78"/>
        <v>1383900</v>
      </c>
      <c r="G354" s="231">
        <f t="shared" si="78"/>
        <v>1383900</v>
      </c>
      <c r="H354" s="231">
        <f t="shared" si="78"/>
        <v>716300</v>
      </c>
      <c r="I354" s="231">
        <f t="shared" si="78"/>
        <v>722000</v>
      </c>
      <c r="J354" s="231">
        <f t="shared" si="78"/>
        <v>726100</v>
      </c>
    </row>
    <row r="355" spans="1:10" x14ac:dyDescent="0.2">
      <c r="A355" s="247"/>
      <c r="B355" s="247">
        <v>212</v>
      </c>
      <c r="C355" s="222" t="s">
        <v>9</v>
      </c>
      <c r="D355" s="222"/>
      <c r="E355" s="231">
        <f t="shared" si="78"/>
        <v>107947.67</v>
      </c>
      <c r="F355" s="231">
        <f t="shared" si="78"/>
        <v>250800</v>
      </c>
      <c r="G355" s="231">
        <f t="shared" si="78"/>
        <v>250800</v>
      </c>
      <c r="H355" s="231">
        <f t="shared" si="78"/>
        <v>164800</v>
      </c>
      <c r="I355" s="231">
        <f t="shared" si="78"/>
        <v>164800</v>
      </c>
      <c r="J355" s="231">
        <f t="shared" si="78"/>
        <v>164800</v>
      </c>
    </row>
    <row r="356" spans="1:10" x14ac:dyDescent="0.2">
      <c r="A356" s="247"/>
      <c r="B356" s="247">
        <v>213</v>
      </c>
      <c r="C356" s="222" t="s">
        <v>201</v>
      </c>
      <c r="D356" s="222"/>
      <c r="E356" s="231">
        <f t="shared" si="78"/>
        <v>0</v>
      </c>
      <c r="F356" s="231">
        <f t="shared" si="78"/>
        <v>0</v>
      </c>
      <c r="G356" s="231">
        <f t="shared" si="78"/>
        <v>0</v>
      </c>
      <c r="H356" s="231">
        <f t="shared" si="78"/>
        <v>0</v>
      </c>
      <c r="I356" s="231">
        <f t="shared" si="78"/>
        <v>0</v>
      </c>
      <c r="J356" s="231">
        <f t="shared" si="78"/>
        <v>0</v>
      </c>
    </row>
    <row r="357" spans="1:10" x14ac:dyDescent="0.2">
      <c r="A357" s="247"/>
      <c r="B357" s="247">
        <v>216</v>
      </c>
      <c r="C357" s="222" t="s">
        <v>10</v>
      </c>
      <c r="D357" s="222"/>
      <c r="E357" s="231">
        <f t="shared" si="78"/>
        <v>444970.02</v>
      </c>
      <c r="F357" s="231">
        <f t="shared" si="78"/>
        <v>375400</v>
      </c>
      <c r="G357" s="231">
        <f t="shared" si="78"/>
        <v>375400</v>
      </c>
      <c r="H357" s="231">
        <f t="shared" si="78"/>
        <v>194800</v>
      </c>
      <c r="I357" s="231">
        <f t="shared" si="78"/>
        <v>194800</v>
      </c>
      <c r="J357" s="231">
        <f t="shared" si="78"/>
        <v>194800</v>
      </c>
    </row>
    <row r="358" spans="1:10" x14ac:dyDescent="0.2">
      <c r="A358" s="247"/>
      <c r="B358" s="247">
        <v>218</v>
      </c>
      <c r="C358" s="222" t="s">
        <v>202</v>
      </c>
      <c r="D358" s="222"/>
      <c r="E358" s="231">
        <f t="shared" si="78"/>
        <v>23562</v>
      </c>
      <c r="F358" s="231">
        <f t="shared" si="78"/>
        <v>65700</v>
      </c>
      <c r="G358" s="231">
        <f t="shared" si="78"/>
        <v>65700</v>
      </c>
      <c r="H358" s="231">
        <f t="shared" si="78"/>
        <v>0</v>
      </c>
      <c r="I358" s="231">
        <f t="shared" si="78"/>
        <v>7200</v>
      </c>
      <c r="J358" s="231">
        <f t="shared" si="78"/>
        <v>0</v>
      </c>
    </row>
    <row r="359" spans="1:10" x14ac:dyDescent="0.2">
      <c r="A359" s="247"/>
      <c r="B359" s="247">
        <v>219</v>
      </c>
      <c r="C359" s="222" t="s">
        <v>203</v>
      </c>
      <c r="D359" s="222"/>
      <c r="E359" s="231">
        <f t="shared" si="78"/>
        <v>0</v>
      </c>
      <c r="F359" s="231">
        <f t="shared" si="78"/>
        <v>0</v>
      </c>
      <c r="G359" s="231">
        <f t="shared" si="78"/>
        <v>0</v>
      </c>
      <c r="H359" s="231">
        <f t="shared" si="78"/>
        <v>0</v>
      </c>
      <c r="I359" s="231">
        <f t="shared" si="78"/>
        <v>0</v>
      </c>
      <c r="J359" s="231">
        <f t="shared" si="78"/>
        <v>0</v>
      </c>
    </row>
    <row r="360" spans="1:10" x14ac:dyDescent="0.2">
      <c r="A360" s="247"/>
      <c r="B360" s="247">
        <v>220</v>
      </c>
      <c r="C360" s="222" t="s">
        <v>204</v>
      </c>
      <c r="D360" s="222"/>
      <c r="E360" s="231">
        <f t="shared" si="78"/>
        <v>7372.9</v>
      </c>
      <c r="F360" s="231">
        <f t="shared" si="78"/>
        <v>14000</v>
      </c>
      <c r="G360" s="231">
        <f t="shared" si="78"/>
        <v>14000</v>
      </c>
      <c r="H360" s="231">
        <f t="shared" si="78"/>
        <v>6000</v>
      </c>
      <c r="I360" s="231">
        <f t="shared" si="78"/>
        <v>6000</v>
      </c>
      <c r="J360" s="231">
        <f t="shared" si="78"/>
        <v>6000</v>
      </c>
    </row>
    <row r="361" spans="1:10" x14ac:dyDescent="0.2">
      <c r="A361" s="247"/>
      <c r="B361" s="247">
        <v>222</v>
      </c>
      <c r="C361" s="222" t="s">
        <v>205</v>
      </c>
      <c r="D361" s="222"/>
      <c r="E361" s="231">
        <f t="shared" si="78"/>
        <v>22423.84</v>
      </c>
      <c r="F361" s="231">
        <f t="shared" si="78"/>
        <v>42000</v>
      </c>
      <c r="G361" s="231">
        <f t="shared" si="78"/>
        <v>42000</v>
      </c>
      <c r="H361" s="231">
        <f t="shared" si="78"/>
        <v>27500</v>
      </c>
      <c r="I361" s="231">
        <f t="shared" si="78"/>
        <v>27500</v>
      </c>
      <c r="J361" s="231">
        <f t="shared" si="78"/>
        <v>27500</v>
      </c>
    </row>
    <row r="362" spans="1:10" x14ac:dyDescent="0.2">
      <c r="A362" s="247"/>
      <c r="B362" s="247">
        <v>224</v>
      </c>
      <c r="C362" s="222" t="s">
        <v>206</v>
      </c>
      <c r="D362" s="222"/>
      <c r="E362" s="231">
        <f t="shared" si="78"/>
        <v>42525.73</v>
      </c>
      <c r="F362" s="231">
        <f t="shared" si="78"/>
        <v>72500</v>
      </c>
      <c r="G362" s="231">
        <f t="shared" si="78"/>
        <v>72500</v>
      </c>
      <c r="H362" s="231">
        <f t="shared" si="78"/>
        <v>22500</v>
      </c>
      <c r="I362" s="231">
        <f t="shared" si="78"/>
        <v>22500</v>
      </c>
      <c r="J362" s="231">
        <f t="shared" si="78"/>
        <v>22500</v>
      </c>
    </row>
    <row r="363" spans="1:10" x14ac:dyDescent="0.2">
      <c r="A363" s="247"/>
      <c r="B363" s="247">
        <v>226</v>
      </c>
      <c r="C363" s="222" t="s">
        <v>207</v>
      </c>
      <c r="D363" s="222"/>
      <c r="E363" s="231">
        <f t="shared" si="78"/>
        <v>19544.169999999998</v>
      </c>
      <c r="F363" s="231">
        <f t="shared" si="78"/>
        <v>31000</v>
      </c>
      <c r="G363" s="231">
        <f t="shared" si="78"/>
        <v>31000</v>
      </c>
      <c r="H363" s="231">
        <f t="shared" si="78"/>
        <v>18500</v>
      </c>
      <c r="I363" s="231">
        <f t="shared" si="78"/>
        <v>18500</v>
      </c>
      <c r="J363" s="231">
        <f t="shared" si="78"/>
        <v>18500</v>
      </c>
    </row>
    <row r="364" spans="1:10" x14ac:dyDescent="0.2">
      <c r="A364" s="247"/>
      <c r="B364" s="247">
        <v>228</v>
      </c>
      <c r="C364" s="222" t="s">
        <v>208</v>
      </c>
      <c r="D364" s="222"/>
      <c r="E364" s="231">
        <f t="shared" si="78"/>
        <v>17684.759999999998</v>
      </c>
      <c r="F364" s="231">
        <f t="shared" si="78"/>
        <v>19000</v>
      </c>
      <c r="G364" s="231">
        <f t="shared" si="78"/>
        <v>19000</v>
      </c>
      <c r="H364" s="231">
        <f t="shared" si="78"/>
        <v>15000</v>
      </c>
      <c r="I364" s="231">
        <f t="shared" si="78"/>
        <v>15000</v>
      </c>
      <c r="J364" s="231">
        <f t="shared" si="78"/>
        <v>15000</v>
      </c>
    </row>
    <row r="365" spans="1:10" x14ac:dyDescent="0.2">
      <c r="A365" s="247"/>
      <c r="B365" s="247">
        <v>229</v>
      </c>
      <c r="C365" s="222" t="s">
        <v>209</v>
      </c>
      <c r="D365" s="222"/>
      <c r="E365" s="231">
        <f t="shared" si="78"/>
        <v>18468.87</v>
      </c>
      <c r="F365" s="231">
        <f t="shared" si="78"/>
        <v>25000</v>
      </c>
      <c r="G365" s="231">
        <f t="shared" si="78"/>
        <v>25000</v>
      </c>
      <c r="H365" s="231">
        <f t="shared" si="78"/>
        <v>25000</v>
      </c>
      <c r="I365" s="231">
        <f t="shared" si="78"/>
        <v>25000</v>
      </c>
      <c r="J365" s="231">
        <f t="shared" si="78"/>
        <v>25000</v>
      </c>
    </row>
    <row r="366" spans="1:10" x14ac:dyDescent="0.2">
      <c r="A366" s="247"/>
      <c r="B366" s="247">
        <v>230</v>
      </c>
      <c r="C366" s="222" t="s">
        <v>210</v>
      </c>
      <c r="D366" s="222"/>
      <c r="E366" s="231">
        <f t="shared" si="78"/>
        <v>0</v>
      </c>
      <c r="F366" s="231">
        <f t="shared" si="78"/>
        <v>0</v>
      </c>
      <c r="G366" s="231">
        <f t="shared" si="78"/>
        <v>0</v>
      </c>
      <c r="H366" s="231">
        <f t="shared" si="78"/>
        <v>0</v>
      </c>
      <c r="I366" s="231">
        <f t="shared" si="78"/>
        <v>0</v>
      </c>
      <c r="J366" s="231">
        <f t="shared" si="78"/>
        <v>0</v>
      </c>
    </row>
    <row r="367" spans="1:10" x14ac:dyDescent="0.2">
      <c r="A367" s="247"/>
      <c r="B367" s="247">
        <v>232</v>
      </c>
      <c r="C367" s="222" t="s">
        <v>211</v>
      </c>
      <c r="D367" s="222"/>
      <c r="E367" s="231">
        <f t="shared" si="78"/>
        <v>5650.9</v>
      </c>
      <c r="F367" s="231">
        <f t="shared" si="78"/>
        <v>13200</v>
      </c>
      <c r="G367" s="231">
        <f t="shared" si="78"/>
        <v>13200</v>
      </c>
      <c r="H367" s="231">
        <f t="shared" si="78"/>
        <v>5200</v>
      </c>
      <c r="I367" s="231">
        <f t="shared" si="78"/>
        <v>5200</v>
      </c>
      <c r="J367" s="231">
        <f t="shared" si="78"/>
        <v>5200</v>
      </c>
    </row>
    <row r="368" spans="1:10" x14ac:dyDescent="0.2">
      <c r="A368" s="247"/>
      <c r="B368" s="247">
        <v>234</v>
      </c>
      <c r="C368" s="222" t="s">
        <v>212</v>
      </c>
      <c r="D368" s="222"/>
      <c r="E368" s="231">
        <f t="shared" si="78"/>
        <v>165568</v>
      </c>
      <c r="F368" s="231">
        <f t="shared" si="78"/>
        <v>174600</v>
      </c>
      <c r="G368" s="231">
        <f t="shared" si="78"/>
        <v>174600</v>
      </c>
      <c r="H368" s="231">
        <f t="shared" si="78"/>
        <v>114600</v>
      </c>
      <c r="I368" s="231">
        <f t="shared" si="78"/>
        <v>114600</v>
      </c>
      <c r="J368" s="231">
        <f t="shared" si="78"/>
        <v>114600</v>
      </c>
    </row>
    <row r="369" spans="1:10" x14ac:dyDescent="0.2">
      <c r="A369" s="247"/>
      <c r="B369" s="247">
        <v>236</v>
      </c>
      <c r="C369" s="222" t="s">
        <v>213</v>
      </c>
      <c r="D369" s="222"/>
      <c r="E369" s="231">
        <f t="shared" si="78"/>
        <v>295288.38</v>
      </c>
      <c r="F369" s="231">
        <f t="shared" si="78"/>
        <v>142000</v>
      </c>
      <c r="G369" s="231">
        <f t="shared" si="78"/>
        <v>142000</v>
      </c>
      <c r="H369" s="231">
        <f t="shared" si="78"/>
        <v>52000</v>
      </c>
      <c r="I369" s="231">
        <f t="shared" si="78"/>
        <v>52000</v>
      </c>
      <c r="J369" s="231">
        <f t="shared" si="78"/>
        <v>52000</v>
      </c>
    </row>
    <row r="370" spans="1:10" x14ac:dyDescent="0.2">
      <c r="A370" s="247"/>
      <c r="B370" s="247">
        <v>238</v>
      </c>
      <c r="C370" s="222" t="s">
        <v>214</v>
      </c>
      <c r="D370" s="222"/>
      <c r="E370" s="231">
        <f t="shared" ref="E370:J385" si="79">SUMIF($A$46:$A$929,$B370,E$46:E$929)</f>
        <v>0</v>
      </c>
      <c r="F370" s="231">
        <f t="shared" si="79"/>
        <v>0</v>
      </c>
      <c r="G370" s="231">
        <f t="shared" si="79"/>
        <v>0</v>
      </c>
      <c r="H370" s="231">
        <f t="shared" si="79"/>
        <v>0</v>
      </c>
      <c r="I370" s="231">
        <f t="shared" si="79"/>
        <v>0</v>
      </c>
      <c r="J370" s="231">
        <f t="shared" si="79"/>
        <v>0</v>
      </c>
    </row>
    <row r="371" spans="1:10" x14ac:dyDescent="0.2">
      <c r="A371" s="247"/>
      <c r="B371" s="247">
        <v>240</v>
      </c>
      <c r="C371" s="222" t="s">
        <v>215</v>
      </c>
      <c r="D371" s="222"/>
      <c r="E371" s="231">
        <f t="shared" si="79"/>
        <v>0</v>
      </c>
      <c r="F371" s="231">
        <f t="shared" si="79"/>
        <v>0</v>
      </c>
      <c r="G371" s="231">
        <f t="shared" si="79"/>
        <v>0</v>
      </c>
      <c r="H371" s="231">
        <f t="shared" si="79"/>
        <v>0</v>
      </c>
      <c r="I371" s="231">
        <f t="shared" si="79"/>
        <v>0</v>
      </c>
      <c r="J371" s="231">
        <f t="shared" si="79"/>
        <v>0</v>
      </c>
    </row>
    <row r="372" spans="1:10" x14ac:dyDescent="0.2">
      <c r="A372" s="247"/>
      <c r="B372" s="247">
        <v>242</v>
      </c>
      <c r="C372" s="222" t="s">
        <v>216</v>
      </c>
      <c r="D372" s="222"/>
      <c r="E372" s="231">
        <f t="shared" si="79"/>
        <v>13538.34</v>
      </c>
      <c r="F372" s="231">
        <f t="shared" si="79"/>
        <v>35000</v>
      </c>
      <c r="G372" s="231">
        <f t="shared" si="79"/>
        <v>35000</v>
      </c>
      <c r="H372" s="231">
        <f t="shared" si="79"/>
        <v>15000</v>
      </c>
      <c r="I372" s="231">
        <f t="shared" si="79"/>
        <v>15000</v>
      </c>
      <c r="J372" s="231">
        <f t="shared" si="79"/>
        <v>15000</v>
      </c>
    </row>
    <row r="373" spans="1:10" x14ac:dyDescent="0.2">
      <c r="A373" s="247"/>
      <c r="B373" s="247">
        <v>244</v>
      </c>
      <c r="C373" s="222" t="s">
        <v>217</v>
      </c>
      <c r="D373" s="222"/>
      <c r="E373" s="231">
        <f t="shared" si="79"/>
        <v>11905.5</v>
      </c>
      <c r="F373" s="231">
        <f t="shared" si="79"/>
        <v>10000</v>
      </c>
      <c r="G373" s="231">
        <f t="shared" si="79"/>
        <v>10000</v>
      </c>
      <c r="H373" s="231">
        <f t="shared" si="79"/>
        <v>5000</v>
      </c>
      <c r="I373" s="231">
        <f t="shared" si="79"/>
        <v>5000</v>
      </c>
      <c r="J373" s="231">
        <f t="shared" si="79"/>
        <v>5000</v>
      </c>
    </row>
    <row r="374" spans="1:10" x14ac:dyDescent="0.2">
      <c r="A374" s="247"/>
      <c r="B374" s="247">
        <v>246</v>
      </c>
      <c r="C374" s="222" t="s">
        <v>218</v>
      </c>
      <c r="D374" s="222"/>
      <c r="E374" s="231">
        <f t="shared" si="79"/>
        <v>41191.760000000002</v>
      </c>
      <c r="F374" s="231">
        <f t="shared" si="79"/>
        <v>45000</v>
      </c>
      <c r="G374" s="231">
        <f t="shared" si="79"/>
        <v>45000</v>
      </c>
      <c r="H374" s="231">
        <f t="shared" si="79"/>
        <v>25500</v>
      </c>
      <c r="I374" s="231">
        <f t="shared" si="79"/>
        <v>25500</v>
      </c>
      <c r="J374" s="231">
        <f t="shared" si="79"/>
        <v>25500</v>
      </c>
    </row>
    <row r="375" spans="1:10" x14ac:dyDescent="0.2">
      <c r="A375" s="247"/>
      <c r="B375" s="247">
        <v>247</v>
      </c>
      <c r="C375" s="222" t="s">
        <v>219</v>
      </c>
      <c r="D375" s="222"/>
      <c r="E375" s="231">
        <f t="shared" si="79"/>
        <v>0</v>
      </c>
      <c r="F375" s="231">
        <f t="shared" si="79"/>
        <v>0</v>
      </c>
      <c r="G375" s="231">
        <f t="shared" si="79"/>
        <v>0</v>
      </c>
      <c r="H375" s="231">
        <f t="shared" si="79"/>
        <v>0</v>
      </c>
      <c r="I375" s="231">
        <f t="shared" si="79"/>
        <v>0</v>
      </c>
      <c r="J375" s="231">
        <f t="shared" si="79"/>
        <v>0</v>
      </c>
    </row>
    <row r="376" spans="1:10" x14ac:dyDescent="0.2">
      <c r="A376" s="247"/>
      <c r="B376" s="247">
        <v>260</v>
      </c>
      <c r="C376" s="222" t="s">
        <v>220</v>
      </c>
      <c r="D376" s="222"/>
      <c r="E376" s="231">
        <f t="shared" si="79"/>
        <v>64575.06</v>
      </c>
      <c r="F376" s="231">
        <f t="shared" si="79"/>
        <v>61100</v>
      </c>
      <c r="G376" s="231">
        <f t="shared" si="79"/>
        <v>61100</v>
      </c>
      <c r="H376" s="231">
        <f t="shared" si="79"/>
        <v>59200</v>
      </c>
      <c r="I376" s="231">
        <f t="shared" si="79"/>
        <v>59200</v>
      </c>
      <c r="J376" s="231">
        <f t="shared" si="79"/>
        <v>59200</v>
      </c>
    </row>
    <row r="377" spans="1:10" x14ac:dyDescent="0.2">
      <c r="A377" s="247"/>
      <c r="B377" s="247">
        <v>261</v>
      </c>
      <c r="C377" s="222" t="s">
        <v>221</v>
      </c>
      <c r="D377" s="222"/>
      <c r="E377" s="231">
        <f t="shared" si="79"/>
        <v>0</v>
      </c>
      <c r="F377" s="231">
        <f t="shared" si="79"/>
        <v>0</v>
      </c>
      <c r="G377" s="231">
        <f t="shared" si="79"/>
        <v>0</v>
      </c>
      <c r="H377" s="231">
        <f t="shared" si="79"/>
        <v>0</v>
      </c>
      <c r="I377" s="231">
        <f t="shared" si="79"/>
        <v>0</v>
      </c>
      <c r="J377" s="231">
        <f t="shared" si="79"/>
        <v>0</v>
      </c>
    </row>
    <row r="378" spans="1:10" x14ac:dyDescent="0.2">
      <c r="A378" s="247"/>
      <c r="B378" s="247">
        <v>265</v>
      </c>
      <c r="C378" s="222" t="s">
        <v>222</v>
      </c>
      <c r="D378" s="222"/>
      <c r="E378" s="231">
        <f t="shared" si="79"/>
        <v>0</v>
      </c>
      <c r="F378" s="231">
        <f t="shared" si="79"/>
        <v>0</v>
      </c>
      <c r="G378" s="231">
        <f t="shared" si="79"/>
        <v>0</v>
      </c>
      <c r="H378" s="231">
        <f t="shared" si="79"/>
        <v>0</v>
      </c>
      <c r="I378" s="231">
        <f t="shared" si="79"/>
        <v>0</v>
      </c>
      <c r="J378" s="231">
        <f t="shared" si="79"/>
        <v>0</v>
      </c>
    </row>
    <row r="379" spans="1:10" x14ac:dyDescent="0.2">
      <c r="A379" s="247"/>
      <c r="B379" s="247">
        <v>266</v>
      </c>
      <c r="C379" s="222" t="s">
        <v>223</v>
      </c>
      <c r="D379" s="222"/>
      <c r="E379" s="231">
        <f t="shared" si="79"/>
        <v>0</v>
      </c>
      <c r="F379" s="231">
        <f t="shared" si="79"/>
        <v>0</v>
      </c>
      <c r="G379" s="231">
        <f t="shared" si="79"/>
        <v>0</v>
      </c>
      <c r="H379" s="231">
        <f t="shared" si="79"/>
        <v>0</v>
      </c>
      <c r="I379" s="231">
        <f t="shared" si="79"/>
        <v>0</v>
      </c>
      <c r="J379" s="231">
        <f t="shared" si="79"/>
        <v>0</v>
      </c>
    </row>
    <row r="380" spans="1:10" x14ac:dyDescent="0.2">
      <c r="A380" s="247"/>
      <c r="B380" s="247">
        <v>270</v>
      </c>
      <c r="C380" s="222" t="s">
        <v>224</v>
      </c>
      <c r="D380" s="222"/>
      <c r="E380" s="231">
        <f t="shared" si="79"/>
        <v>0</v>
      </c>
      <c r="F380" s="231">
        <f t="shared" si="79"/>
        <v>0</v>
      </c>
      <c r="G380" s="231">
        <f t="shared" si="79"/>
        <v>0</v>
      </c>
      <c r="H380" s="231">
        <f t="shared" si="79"/>
        <v>0</v>
      </c>
      <c r="I380" s="231">
        <f t="shared" si="79"/>
        <v>0</v>
      </c>
      <c r="J380" s="231">
        <f t="shared" si="79"/>
        <v>0</v>
      </c>
    </row>
    <row r="381" spans="1:10" x14ac:dyDescent="0.2">
      <c r="A381" s="247"/>
      <c r="B381" s="247">
        <v>272</v>
      </c>
      <c r="C381" s="222" t="s">
        <v>225</v>
      </c>
      <c r="D381" s="222"/>
      <c r="E381" s="231">
        <f t="shared" si="79"/>
        <v>0</v>
      </c>
      <c r="F381" s="231">
        <f t="shared" si="79"/>
        <v>0</v>
      </c>
      <c r="G381" s="231">
        <f t="shared" si="79"/>
        <v>0</v>
      </c>
      <c r="H381" s="231">
        <f t="shared" si="79"/>
        <v>0</v>
      </c>
      <c r="I381" s="231">
        <f t="shared" si="79"/>
        <v>0</v>
      </c>
      <c r="J381" s="231">
        <f t="shared" si="79"/>
        <v>0</v>
      </c>
    </row>
    <row r="382" spans="1:10" x14ac:dyDescent="0.2">
      <c r="A382" s="247"/>
      <c r="B382" s="247">
        <v>273</v>
      </c>
      <c r="C382" s="222" t="s">
        <v>226</v>
      </c>
      <c r="D382" s="222"/>
      <c r="E382" s="231">
        <f t="shared" si="79"/>
        <v>0</v>
      </c>
      <c r="F382" s="231">
        <f t="shared" si="79"/>
        <v>0</v>
      </c>
      <c r="G382" s="231">
        <f t="shared" si="79"/>
        <v>0</v>
      </c>
      <c r="H382" s="231">
        <f t="shared" si="79"/>
        <v>0</v>
      </c>
      <c r="I382" s="231">
        <f t="shared" si="79"/>
        <v>0</v>
      </c>
      <c r="J382" s="231">
        <f t="shared" si="79"/>
        <v>0</v>
      </c>
    </row>
    <row r="383" spans="1:10" x14ac:dyDescent="0.2">
      <c r="A383" s="247"/>
      <c r="B383" s="247">
        <v>274</v>
      </c>
      <c r="C383" s="222" t="s">
        <v>227</v>
      </c>
      <c r="D383" s="222"/>
      <c r="E383" s="231">
        <f t="shared" si="79"/>
        <v>0</v>
      </c>
      <c r="F383" s="231">
        <f t="shared" si="79"/>
        <v>0</v>
      </c>
      <c r="G383" s="231">
        <f t="shared" si="79"/>
        <v>0</v>
      </c>
      <c r="H383" s="231">
        <f t="shared" si="79"/>
        <v>0</v>
      </c>
      <c r="I383" s="231">
        <f t="shared" si="79"/>
        <v>0</v>
      </c>
      <c r="J383" s="231">
        <f t="shared" si="79"/>
        <v>0</v>
      </c>
    </row>
    <row r="384" spans="1:10" x14ac:dyDescent="0.2">
      <c r="A384" s="247"/>
      <c r="B384" s="247">
        <v>275</v>
      </c>
      <c r="C384" s="222" t="s">
        <v>228</v>
      </c>
      <c r="D384" s="222"/>
      <c r="E384" s="231">
        <f t="shared" si="79"/>
        <v>4095.1400000000003</v>
      </c>
      <c r="F384" s="231">
        <f t="shared" si="79"/>
        <v>6500</v>
      </c>
      <c r="G384" s="231">
        <f t="shared" si="79"/>
        <v>6500</v>
      </c>
      <c r="H384" s="231">
        <f t="shared" si="79"/>
        <v>1500</v>
      </c>
      <c r="I384" s="231">
        <f t="shared" si="79"/>
        <v>1500</v>
      </c>
      <c r="J384" s="231">
        <f t="shared" si="79"/>
        <v>1500</v>
      </c>
    </row>
    <row r="385" spans="1:10" x14ac:dyDescent="0.2">
      <c r="A385" s="247"/>
      <c r="B385" s="247">
        <v>276</v>
      </c>
      <c r="C385" s="222" t="s">
        <v>229</v>
      </c>
      <c r="D385" s="222"/>
      <c r="E385" s="231">
        <f t="shared" si="79"/>
        <v>0</v>
      </c>
      <c r="F385" s="231">
        <f t="shared" si="79"/>
        <v>0</v>
      </c>
      <c r="G385" s="231">
        <f t="shared" si="79"/>
        <v>0</v>
      </c>
      <c r="H385" s="231">
        <f t="shared" si="79"/>
        <v>0</v>
      </c>
      <c r="I385" s="231">
        <f t="shared" si="79"/>
        <v>0</v>
      </c>
      <c r="J385" s="231">
        <f t="shared" si="79"/>
        <v>0</v>
      </c>
    </row>
    <row r="386" spans="1:10" x14ac:dyDescent="0.2">
      <c r="A386" s="247"/>
      <c r="B386" s="247">
        <v>277</v>
      </c>
      <c r="C386" s="222" t="s">
        <v>230</v>
      </c>
      <c r="D386" s="222"/>
      <c r="E386" s="231">
        <f t="shared" ref="E386:J397" si="80">SUMIF($A$46:$A$929,$B386,E$46:E$929)</f>
        <v>0</v>
      </c>
      <c r="F386" s="231">
        <f t="shared" si="80"/>
        <v>0</v>
      </c>
      <c r="G386" s="231">
        <f t="shared" si="80"/>
        <v>0</v>
      </c>
      <c r="H386" s="231">
        <f t="shared" si="80"/>
        <v>0</v>
      </c>
      <c r="I386" s="231">
        <f t="shared" si="80"/>
        <v>0</v>
      </c>
      <c r="J386" s="231">
        <f t="shared" si="80"/>
        <v>0</v>
      </c>
    </row>
    <row r="387" spans="1:10" x14ac:dyDescent="0.2">
      <c r="A387" s="247"/>
      <c r="B387" s="247">
        <v>278</v>
      </c>
      <c r="C387" s="222" t="s">
        <v>231</v>
      </c>
      <c r="D387" s="222"/>
      <c r="E387" s="231">
        <f t="shared" si="80"/>
        <v>0</v>
      </c>
      <c r="F387" s="231">
        <f t="shared" si="80"/>
        <v>0</v>
      </c>
      <c r="G387" s="231">
        <f t="shared" si="80"/>
        <v>0</v>
      </c>
      <c r="H387" s="231">
        <f t="shared" si="80"/>
        <v>0</v>
      </c>
      <c r="I387" s="231">
        <f t="shared" si="80"/>
        <v>0</v>
      </c>
      <c r="J387" s="231">
        <f t="shared" si="80"/>
        <v>0</v>
      </c>
    </row>
    <row r="388" spans="1:10" x14ac:dyDescent="0.2">
      <c r="A388" s="247"/>
      <c r="B388" s="247">
        <v>279</v>
      </c>
      <c r="C388" s="222" t="s">
        <v>232</v>
      </c>
      <c r="D388" s="222"/>
      <c r="E388" s="231">
        <f t="shared" si="80"/>
        <v>0</v>
      </c>
      <c r="F388" s="231">
        <f t="shared" si="80"/>
        <v>0</v>
      </c>
      <c r="G388" s="231">
        <f t="shared" si="80"/>
        <v>0</v>
      </c>
      <c r="H388" s="231">
        <f t="shared" si="80"/>
        <v>0</v>
      </c>
      <c r="I388" s="231">
        <f t="shared" si="80"/>
        <v>0</v>
      </c>
      <c r="J388" s="231">
        <f t="shared" si="80"/>
        <v>0</v>
      </c>
    </row>
    <row r="389" spans="1:10" x14ac:dyDescent="0.2">
      <c r="A389" s="247"/>
      <c r="B389" s="247">
        <v>280</v>
      </c>
      <c r="C389" s="222" t="s">
        <v>233</v>
      </c>
      <c r="D389" s="222"/>
      <c r="E389" s="231">
        <f t="shared" si="80"/>
        <v>21000</v>
      </c>
      <c r="F389" s="231">
        <f t="shared" si="80"/>
        <v>6500</v>
      </c>
      <c r="G389" s="231">
        <f t="shared" si="80"/>
        <v>6500</v>
      </c>
      <c r="H389" s="231">
        <f t="shared" si="80"/>
        <v>5000</v>
      </c>
      <c r="I389" s="231">
        <f t="shared" si="80"/>
        <v>5000</v>
      </c>
      <c r="J389" s="231">
        <f t="shared" si="80"/>
        <v>5000</v>
      </c>
    </row>
    <row r="390" spans="1:10" x14ac:dyDescent="0.2">
      <c r="A390" s="247"/>
      <c r="B390" s="247">
        <v>281</v>
      </c>
      <c r="C390" s="222" t="s">
        <v>234</v>
      </c>
      <c r="D390" s="222"/>
      <c r="E390" s="231">
        <f t="shared" si="80"/>
        <v>0</v>
      </c>
      <c r="F390" s="231">
        <f t="shared" si="80"/>
        <v>0</v>
      </c>
      <c r="G390" s="231">
        <f t="shared" si="80"/>
        <v>0</v>
      </c>
      <c r="H390" s="231">
        <f t="shared" si="80"/>
        <v>0</v>
      </c>
      <c r="I390" s="231">
        <f t="shared" si="80"/>
        <v>0</v>
      </c>
      <c r="J390" s="231">
        <f t="shared" si="80"/>
        <v>0</v>
      </c>
    </row>
    <row r="391" spans="1:10" x14ac:dyDescent="0.2">
      <c r="A391" s="247"/>
      <c r="B391" s="247">
        <v>282</v>
      </c>
      <c r="C391" s="222" t="s">
        <v>235</v>
      </c>
      <c r="D391" s="222"/>
      <c r="E391" s="231">
        <f t="shared" si="80"/>
        <v>0</v>
      </c>
      <c r="F391" s="231">
        <f t="shared" si="80"/>
        <v>0</v>
      </c>
      <c r="G391" s="231">
        <f t="shared" si="80"/>
        <v>0</v>
      </c>
      <c r="H391" s="231">
        <f t="shared" si="80"/>
        <v>0</v>
      </c>
      <c r="I391" s="231">
        <f t="shared" si="80"/>
        <v>0</v>
      </c>
      <c r="J391" s="231">
        <f t="shared" si="80"/>
        <v>0</v>
      </c>
    </row>
    <row r="392" spans="1:10" x14ac:dyDescent="0.2">
      <c r="A392" s="247"/>
      <c r="B392" s="247">
        <v>283</v>
      </c>
      <c r="C392" s="222" t="s">
        <v>236</v>
      </c>
      <c r="D392" s="222"/>
      <c r="E392" s="231">
        <f t="shared" si="80"/>
        <v>0</v>
      </c>
      <c r="F392" s="231">
        <f t="shared" si="80"/>
        <v>0</v>
      </c>
      <c r="G392" s="231">
        <f t="shared" si="80"/>
        <v>0</v>
      </c>
      <c r="H392" s="231">
        <f t="shared" si="80"/>
        <v>0</v>
      </c>
      <c r="I392" s="231">
        <f t="shared" si="80"/>
        <v>0</v>
      </c>
      <c r="J392" s="231">
        <f t="shared" si="80"/>
        <v>0</v>
      </c>
    </row>
    <row r="393" spans="1:10" x14ac:dyDescent="0.2">
      <c r="A393" s="247"/>
      <c r="B393" s="247">
        <v>290</v>
      </c>
      <c r="C393" s="222" t="s">
        <v>238</v>
      </c>
      <c r="D393" s="222"/>
      <c r="E393" s="231">
        <f t="shared" si="80"/>
        <v>0</v>
      </c>
      <c r="F393" s="231">
        <f t="shared" si="80"/>
        <v>0</v>
      </c>
      <c r="G393" s="231">
        <f t="shared" si="80"/>
        <v>0</v>
      </c>
      <c r="H393" s="231">
        <f t="shared" si="80"/>
        <v>0</v>
      </c>
      <c r="I393" s="231">
        <f t="shared" si="80"/>
        <v>0</v>
      </c>
      <c r="J393" s="231">
        <f t="shared" si="80"/>
        <v>0</v>
      </c>
    </row>
    <row r="394" spans="1:10" x14ac:dyDescent="0.2">
      <c r="A394" s="247"/>
      <c r="B394" s="247">
        <v>292</v>
      </c>
      <c r="C394" s="222" t="s">
        <v>239</v>
      </c>
      <c r="D394" s="222"/>
      <c r="E394" s="231">
        <f t="shared" si="80"/>
        <v>0</v>
      </c>
      <c r="F394" s="231">
        <f t="shared" si="80"/>
        <v>0</v>
      </c>
      <c r="G394" s="231">
        <f t="shared" si="80"/>
        <v>0</v>
      </c>
      <c r="H394" s="231">
        <f t="shared" si="80"/>
        <v>0</v>
      </c>
      <c r="I394" s="231">
        <f t="shared" si="80"/>
        <v>0</v>
      </c>
      <c r="J394" s="231">
        <f t="shared" si="80"/>
        <v>0</v>
      </c>
    </row>
    <row r="395" spans="1:10" x14ac:dyDescent="0.2">
      <c r="A395" s="247"/>
      <c r="B395" s="247">
        <v>293</v>
      </c>
      <c r="C395" s="222" t="s">
        <v>240</v>
      </c>
      <c r="D395" s="222"/>
      <c r="E395" s="231">
        <f t="shared" si="80"/>
        <v>0</v>
      </c>
      <c r="F395" s="231">
        <f t="shared" si="80"/>
        <v>0</v>
      </c>
      <c r="G395" s="231">
        <f t="shared" si="80"/>
        <v>0</v>
      </c>
      <c r="H395" s="231">
        <f t="shared" si="80"/>
        <v>0</v>
      </c>
      <c r="I395" s="231">
        <f t="shared" si="80"/>
        <v>0</v>
      </c>
      <c r="J395" s="231">
        <f t="shared" si="80"/>
        <v>0</v>
      </c>
    </row>
    <row r="396" spans="1:10" x14ac:dyDescent="0.2">
      <c r="A396" s="222"/>
      <c r="B396" s="247"/>
      <c r="C396" s="229" t="s">
        <v>586</v>
      </c>
      <c r="D396" s="240"/>
      <c r="E396" s="248">
        <f t="shared" ref="E396:J396" si="81">SUM(E354:E395)</f>
        <v>2431559.9299999997</v>
      </c>
      <c r="F396" s="248">
        <f t="shared" si="81"/>
        <v>2773200</v>
      </c>
      <c r="G396" s="248">
        <f t="shared" si="81"/>
        <v>2773200</v>
      </c>
      <c r="H396" s="248">
        <f t="shared" si="81"/>
        <v>1473400</v>
      </c>
      <c r="I396" s="248">
        <f t="shared" si="81"/>
        <v>1486300</v>
      </c>
      <c r="J396" s="248">
        <f t="shared" si="81"/>
        <v>1483200</v>
      </c>
    </row>
  </sheetData>
  <mergeCells count="337">
    <mergeCell ref="A307:J307"/>
    <mergeCell ref="A308:E308"/>
    <mergeCell ref="A309:E309"/>
    <mergeCell ref="A310:E310"/>
    <mergeCell ref="A301:E301"/>
    <mergeCell ref="A302:J302"/>
    <mergeCell ref="A303:E303"/>
    <mergeCell ref="A304:E304"/>
    <mergeCell ref="A305:E305"/>
    <mergeCell ref="A306:E306"/>
    <mergeCell ref="A295:J295"/>
    <mergeCell ref="A296:J296"/>
    <mergeCell ref="A297:J297"/>
    <mergeCell ref="A298:J298"/>
    <mergeCell ref="A299:J299"/>
    <mergeCell ref="A300:J300"/>
    <mergeCell ref="A289:C289"/>
    <mergeCell ref="A290:D290"/>
    <mergeCell ref="A291:J291"/>
    <mergeCell ref="A292:J292"/>
    <mergeCell ref="A293:J293"/>
    <mergeCell ref="A294:J294"/>
    <mergeCell ref="C283:D283"/>
    <mergeCell ref="A284:D284"/>
    <mergeCell ref="A285:J285"/>
    <mergeCell ref="A286:J286"/>
    <mergeCell ref="A287:C287"/>
    <mergeCell ref="A288:C288"/>
    <mergeCell ref="A280:J280"/>
    <mergeCell ref="A281:D281"/>
    <mergeCell ref="E281:E282"/>
    <mergeCell ref="F281:F282"/>
    <mergeCell ref="G281:G282"/>
    <mergeCell ref="H281:H282"/>
    <mergeCell ref="I281:I282"/>
    <mergeCell ref="J281:J282"/>
    <mergeCell ref="C282:D282"/>
    <mergeCell ref="B274:D274"/>
    <mergeCell ref="B275:D275"/>
    <mergeCell ref="B276:D276"/>
    <mergeCell ref="A277:D277"/>
    <mergeCell ref="A278:D278"/>
    <mergeCell ref="A279:J279"/>
    <mergeCell ref="B268:D268"/>
    <mergeCell ref="B269:D269"/>
    <mergeCell ref="B270:D270"/>
    <mergeCell ref="B271:D271"/>
    <mergeCell ref="B272:D272"/>
    <mergeCell ref="B273:D273"/>
    <mergeCell ref="B262:D262"/>
    <mergeCell ref="B263:D263"/>
    <mergeCell ref="B264:D264"/>
    <mergeCell ref="A265:D265"/>
    <mergeCell ref="A266:I266"/>
    <mergeCell ref="B267:D267"/>
    <mergeCell ref="A256:D256"/>
    <mergeCell ref="A257:J257"/>
    <mergeCell ref="A258:J258"/>
    <mergeCell ref="B259:D259"/>
    <mergeCell ref="A260:I260"/>
    <mergeCell ref="B261:D261"/>
    <mergeCell ref="A251:C251"/>
    <mergeCell ref="D251:J251"/>
    <mergeCell ref="A252:J252"/>
    <mergeCell ref="A253:J253"/>
    <mergeCell ref="B254:D254"/>
    <mergeCell ref="B255:D255"/>
    <mergeCell ref="A245:J245"/>
    <mergeCell ref="A246:E246"/>
    <mergeCell ref="A247:E247"/>
    <mergeCell ref="A248:E248"/>
    <mergeCell ref="A249:J249"/>
    <mergeCell ref="A250:J250"/>
    <mergeCell ref="A239:J239"/>
    <mergeCell ref="A240:E240"/>
    <mergeCell ref="A241:E241"/>
    <mergeCell ref="A242:E242"/>
    <mergeCell ref="A243:E243"/>
    <mergeCell ref="A244:E244"/>
    <mergeCell ref="A233:J233"/>
    <mergeCell ref="A234:J234"/>
    <mergeCell ref="A235:J235"/>
    <mergeCell ref="A236:J236"/>
    <mergeCell ref="A237:J237"/>
    <mergeCell ref="A238:E238"/>
    <mergeCell ref="A227:J227"/>
    <mergeCell ref="A228:J228"/>
    <mergeCell ref="A229:J229"/>
    <mergeCell ref="A230:J230"/>
    <mergeCell ref="A231:J231"/>
    <mergeCell ref="A232:J232"/>
    <mergeCell ref="A223:C223"/>
    <mergeCell ref="F223:H223"/>
    <mergeCell ref="A224:C224"/>
    <mergeCell ref="F224:H224"/>
    <mergeCell ref="A225:I225"/>
    <mergeCell ref="A226:J226"/>
    <mergeCell ref="A220:C220"/>
    <mergeCell ref="F220:H220"/>
    <mergeCell ref="A221:C221"/>
    <mergeCell ref="F221:H221"/>
    <mergeCell ref="A222:C222"/>
    <mergeCell ref="F222:H222"/>
    <mergeCell ref="C214:D214"/>
    <mergeCell ref="C215:D215"/>
    <mergeCell ref="C216:D216"/>
    <mergeCell ref="A217:D217"/>
    <mergeCell ref="A218:I218"/>
    <mergeCell ref="A219:J219"/>
    <mergeCell ref="A210:D210"/>
    <mergeCell ref="A211:J211"/>
    <mergeCell ref="A212:J212"/>
    <mergeCell ref="A213:D213"/>
    <mergeCell ref="E213:E214"/>
    <mergeCell ref="F213:F214"/>
    <mergeCell ref="G213:G214"/>
    <mergeCell ref="H213:H214"/>
    <mergeCell ref="I213:I214"/>
    <mergeCell ref="J213:J214"/>
    <mergeCell ref="B204:D204"/>
    <mergeCell ref="B205:D205"/>
    <mergeCell ref="B206:D206"/>
    <mergeCell ref="B207:D207"/>
    <mergeCell ref="B208:D208"/>
    <mergeCell ref="A209:D209"/>
    <mergeCell ref="B198:D198"/>
    <mergeCell ref="B199:D199"/>
    <mergeCell ref="B200:D200"/>
    <mergeCell ref="B201:D201"/>
    <mergeCell ref="B202:D202"/>
    <mergeCell ref="B203:D203"/>
    <mergeCell ref="B192:D192"/>
    <mergeCell ref="B193:D193"/>
    <mergeCell ref="B194:D194"/>
    <mergeCell ref="A195:D195"/>
    <mergeCell ref="A196:I196"/>
    <mergeCell ref="B197:D197"/>
    <mergeCell ref="A186:D186"/>
    <mergeCell ref="A187:J187"/>
    <mergeCell ref="A188:J188"/>
    <mergeCell ref="B189:D189"/>
    <mergeCell ref="A190:I190"/>
    <mergeCell ref="B191:D191"/>
    <mergeCell ref="A181:C181"/>
    <mergeCell ref="D181:J181"/>
    <mergeCell ref="A182:J182"/>
    <mergeCell ref="A183:J183"/>
    <mergeCell ref="B184:D184"/>
    <mergeCell ref="B185:D185"/>
    <mergeCell ref="A175:E175"/>
    <mergeCell ref="A176:J176"/>
    <mergeCell ref="A177:E177"/>
    <mergeCell ref="A178:E178"/>
    <mergeCell ref="A179:J179"/>
    <mergeCell ref="A180:J180"/>
    <mergeCell ref="A169:J169"/>
    <mergeCell ref="A170:J170"/>
    <mergeCell ref="A171:E171"/>
    <mergeCell ref="A172:J172"/>
    <mergeCell ref="A173:E173"/>
    <mergeCell ref="A174:E174"/>
    <mergeCell ref="A163:J163"/>
    <mergeCell ref="A164:J164"/>
    <mergeCell ref="A165:J165"/>
    <mergeCell ref="A166:J166"/>
    <mergeCell ref="A167:J167"/>
    <mergeCell ref="A168:J168"/>
    <mergeCell ref="A157:C157"/>
    <mergeCell ref="A158:C158"/>
    <mergeCell ref="A159:C159"/>
    <mergeCell ref="A160:D160"/>
    <mergeCell ref="A161:J161"/>
    <mergeCell ref="A162:J162"/>
    <mergeCell ref="C151:D151"/>
    <mergeCell ref="C152:D152"/>
    <mergeCell ref="C153:D153"/>
    <mergeCell ref="A154:D154"/>
    <mergeCell ref="A155:I155"/>
    <mergeCell ref="A156:I156"/>
    <mergeCell ref="A147:D147"/>
    <mergeCell ref="A148:I148"/>
    <mergeCell ref="A149:J149"/>
    <mergeCell ref="A150:D150"/>
    <mergeCell ref="E150:E151"/>
    <mergeCell ref="F150:F151"/>
    <mergeCell ref="G150:G151"/>
    <mergeCell ref="H150:H151"/>
    <mergeCell ref="I150:I151"/>
    <mergeCell ref="J150:J151"/>
    <mergeCell ref="B141:D141"/>
    <mergeCell ref="B142:D142"/>
    <mergeCell ref="B143:D143"/>
    <mergeCell ref="B144:D144"/>
    <mergeCell ref="B145:D145"/>
    <mergeCell ref="A146:D146"/>
    <mergeCell ref="A135:D135"/>
    <mergeCell ref="A136:I136"/>
    <mergeCell ref="B137:D137"/>
    <mergeCell ref="B138:D138"/>
    <mergeCell ref="B139:D139"/>
    <mergeCell ref="B140:D140"/>
    <mergeCell ref="B129:D129"/>
    <mergeCell ref="A130:I130"/>
    <mergeCell ref="B131:D131"/>
    <mergeCell ref="B132:D132"/>
    <mergeCell ref="B133:D133"/>
    <mergeCell ref="B134:D134"/>
    <mergeCell ref="A123:J123"/>
    <mergeCell ref="B124:D124"/>
    <mergeCell ref="B125:D125"/>
    <mergeCell ref="A126:D126"/>
    <mergeCell ref="A127:J127"/>
    <mergeCell ref="A128:J128"/>
    <mergeCell ref="A118:E118"/>
    <mergeCell ref="A119:J119"/>
    <mergeCell ref="A120:J120"/>
    <mergeCell ref="A121:C121"/>
    <mergeCell ref="D121:J121"/>
    <mergeCell ref="A122:J122"/>
    <mergeCell ref="A112:E112"/>
    <mergeCell ref="A113:E113"/>
    <mergeCell ref="A114:E114"/>
    <mergeCell ref="A115:E115"/>
    <mergeCell ref="A116:J116"/>
    <mergeCell ref="A117:E117"/>
    <mergeCell ref="A106:J106"/>
    <mergeCell ref="A107:J107"/>
    <mergeCell ref="A108:J108"/>
    <mergeCell ref="A109:J109"/>
    <mergeCell ref="A110:E110"/>
    <mergeCell ref="A111:J111"/>
    <mergeCell ref="A100:J100"/>
    <mergeCell ref="A101:J101"/>
    <mergeCell ref="A102:J102"/>
    <mergeCell ref="A103:J103"/>
    <mergeCell ref="A104:J104"/>
    <mergeCell ref="A105:J105"/>
    <mergeCell ref="A94:C94"/>
    <mergeCell ref="A95:C95"/>
    <mergeCell ref="A96:C96"/>
    <mergeCell ref="A97:D97"/>
    <mergeCell ref="A98:J98"/>
    <mergeCell ref="A99:J99"/>
    <mergeCell ref="C88:D88"/>
    <mergeCell ref="A89:D89"/>
    <mergeCell ref="A90:I90"/>
    <mergeCell ref="A91:I91"/>
    <mergeCell ref="A92:C92"/>
    <mergeCell ref="A93:C93"/>
    <mergeCell ref="A85:J85"/>
    <mergeCell ref="A86:D86"/>
    <mergeCell ref="E86:E87"/>
    <mergeCell ref="F86:F87"/>
    <mergeCell ref="G86:G87"/>
    <mergeCell ref="H86:H87"/>
    <mergeCell ref="I86:I87"/>
    <mergeCell ref="J86:J87"/>
    <mergeCell ref="C87:D87"/>
    <mergeCell ref="B79:D79"/>
    <mergeCell ref="B80:D80"/>
    <mergeCell ref="B81:D81"/>
    <mergeCell ref="A82:D82"/>
    <mergeCell ref="A83:D83"/>
    <mergeCell ref="A84:J84"/>
    <mergeCell ref="B73:D73"/>
    <mergeCell ref="B74:D74"/>
    <mergeCell ref="B75:D75"/>
    <mergeCell ref="B76:D76"/>
    <mergeCell ref="B77:D77"/>
    <mergeCell ref="B78:D78"/>
    <mergeCell ref="B67:D67"/>
    <mergeCell ref="A68:D68"/>
    <mergeCell ref="A69:I69"/>
    <mergeCell ref="B70:D70"/>
    <mergeCell ref="B71:D71"/>
    <mergeCell ref="B72:D72"/>
    <mergeCell ref="A61:J61"/>
    <mergeCell ref="B62:D62"/>
    <mergeCell ref="A63:I63"/>
    <mergeCell ref="B64:D64"/>
    <mergeCell ref="B65:D65"/>
    <mergeCell ref="B66:D66"/>
    <mergeCell ref="A55:J55"/>
    <mergeCell ref="A56:J56"/>
    <mergeCell ref="B57:D57"/>
    <mergeCell ref="B58:D58"/>
    <mergeCell ref="A59:D59"/>
    <mergeCell ref="A60:J60"/>
    <mergeCell ref="A49:J49"/>
    <mergeCell ref="A50:J50"/>
    <mergeCell ref="A51:D51"/>
    <mergeCell ref="A52:J52"/>
    <mergeCell ref="A53:J53"/>
    <mergeCell ref="A54:C54"/>
    <mergeCell ref="D54:J54"/>
    <mergeCell ref="A43:J43"/>
    <mergeCell ref="C44:D44"/>
    <mergeCell ref="C45:D45"/>
    <mergeCell ref="A46:D46"/>
    <mergeCell ref="A47:J47"/>
    <mergeCell ref="A48:D48"/>
    <mergeCell ref="B37:D37"/>
    <mergeCell ref="B38:D38"/>
    <mergeCell ref="B39:D39"/>
    <mergeCell ref="B40:D40"/>
    <mergeCell ref="A41:D41"/>
    <mergeCell ref="A42:J42"/>
    <mergeCell ref="B31:D31"/>
    <mergeCell ref="A32:D32"/>
    <mergeCell ref="A33:D33"/>
    <mergeCell ref="A34:J34"/>
    <mergeCell ref="A35:J35"/>
    <mergeCell ref="B36:D36"/>
    <mergeCell ref="A25:D25"/>
    <mergeCell ref="A26:J26"/>
    <mergeCell ref="A27:J27"/>
    <mergeCell ref="B28:D28"/>
    <mergeCell ref="B29:D29"/>
    <mergeCell ref="B30:D30"/>
    <mergeCell ref="B19:D19"/>
    <mergeCell ref="A20:J20"/>
    <mergeCell ref="B21:D21"/>
    <mergeCell ref="B22:D22"/>
    <mergeCell ref="B23:D23"/>
    <mergeCell ref="B24:D24"/>
    <mergeCell ref="A13:J13"/>
    <mergeCell ref="A14:J14"/>
    <mergeCell ref="A15:J15"/>
    <mergeCell ref="A16:J16"/>
    <mergeCell ref="A17:J17"/>
    <mergeCell ref="A18:J18"/>
    <mergeCell ref="A1:J1"/>
    <mergeCell ref="A2:J2"/>
    <mergeCell ref="A3:J3"/>
    <mergeCell ref="A10:J10"/>
    <mergeCell ref="A11:J11"/>
    <mergeCell ref="A12:J12"/>
  </mergeCells>
  <printOptions horizontalCentered="1"/>
  <pageMargins left="0.25" right="0.25" top="0.75" bottom="0.75" header="0.3" footer="0.3"/>
  <pageSetup fitToHeight="0" orientation="portrait" r:id="rId1"/>
  <rowBreaks count="10" manualBreakCount="10">
    <brk id="52" max="9" man="1"/>
    <brk id="97" max="9" man="1"/>
    <brk id="119" max="9" man="1"/>
    <brk id="161" max="9" man="1"/>
    <brk id="179" max="9" man="1"/>
    <brk id="218" max="9" man="1"/>
    <brk id="249" max="9" man="1"/>
    <brk id="291" max="9" man="1"/>
    <brk id="311" max="9" man="1"/>
    <brk id="35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84"/>
  <sheetViews>
    <sheet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x14ac:dyDescent="0.2">
      <c r="A1" s="98" t="s">
        <v>254</v>
      </c>
      <c r="B1" s="98"/>
      <c r="C1" s="99"/>
      <c r="D1" s="99"/>
      <c r="E1" s="99"/>
      <c r="F1" s="99"/>
      <c r="G1" s="99"/>
      <c r="H1" s="99"/>
      <c r="I1" s="99"/>
      <c r="J1" s="99"/>
    </row>
    <row r="2" spans="1:10" x14ac:dyDescent="0.2">
      <c r="A2" s="98" t="s">
        <v>587</v>
      </c>
      <c r="B2" s="98"/>
      <c r="C2" s="101"/>
      <c r="D2" s="101"/>
      <c r="E2" s="101"/>
      <c r="F2" s="101"/>
      <c r="G2" s="101"/>
      <c r="H2" s="101"/>
      <c r="I2" s="101"/>
      <c r="J2" s="101"/>
    </row>
    <row r="3" spans="1:10" ht="15" thickBot="1" x14ac:dyDescent="0.25">
      <c r="A3" s="250"/>
      <c r="B3" s="251"/>
      <c r="C3" s="251"/>
      <c r="D3" s="251"/>
      <c r="E3" s="251"/>
      <c r="F3" s="251"/>
      <c r="G3" s="251"/>
      <c r="H3" s="251"/>
      <c r="I3" s="251"/>
      <c r="J3" s="252"/>
    </row>
    <row r="4" spans="1:10" x14ac:dyDescent="0.2">
      <c r="A4" s="253" t="s">
        <v>256</v>
      </c>
      <c r="B4" s="254" t="s">
        <v>588</v>
      </c>
      <c r="C4" s="254"/>
      <c r="D4" s="254"/>
      <c r="E4" s="254"/>
      <c r="F4" s="254"/>
      <c r="G4" s="255"/>
      <c r="H4" s="255"/>
      <c r="I4" s="255"/>
      <c r="J4" s="256"/>
    </row>
    <row r="5" spans="1:10" x14ac:dyDescent="0.2">
      <c r="A5" s="105"/>
      <c r="B5" s="106" t="s">
        <v>589</v>
      </c>
      <c r="C5" s="106"/>
      <c r="D5" s="106"/>
      <c r="E5" s="106"/>
      <c r="F5" s="106"/>
      <c r="G5" s="107"/>
      <c r="H5" s="107"/>
      <c r="I5" s="107"/>
      <c r="J5" s="108"/>
    </row>
    <row r="6" spans="1:10" x14ac:dyDescent="0.2">
      <c r="A6" s="109"/>
      <c r="B6" s="106" t="s">
        <v>590</v>
      </c>
      <c r="C6" s="110"/>
      <c r="D6" s="110"/>
      <c r="E6" s="106"/>
      <c r="F6" s="106"/>
      <c r="G6" s="111"/>
      <c r="H6" s="111"/>
      <c r="I6" s="111"/>
      <c r="J6" s="112">
        <f>H42</f>
        <v>1258000</v>
      </c>
    </row>
    <row r="7" spans="1:10" x14ac:dyDescent="0.2">
      <c r="A7" s="115" t="s">
        <v>260</v>
      </c>
      <c r="B7" s="116" t="s">
        <v>261</v>
      </c>
      <c r="C7" s="116"/>
      <c r="D7" s="116" t="s">
        <v>591</v>
      </c>
      <c r="E7" s="116"/>
      <c r="F7" s="116"/>
      <c r="G7" s="117"/>
      <c r="H7" s="117"/>
      <c r="I7" s="117"/>
      <c r="J7" s="118"/>
    </row>
    <row r="8" spans="1:10" ht="15" thickBot="1" x14ac:dyDescent="0.25">
      <c r="A8" s="119" t="s">
        <v>263</v>
      </c>
      <c r="B8" s="120" t="s">
        <v>592</v>
      </c>
      <c r="C8" s="120"/>
      <c r="D8" s="121"/>
      <c r="E8" s="121"/>
      <c r="F8" s="121"/>
      <c r="G8" s="123"/>
      <c r="H8" s="123"/>
      <c r="I8" s="123"/>
      <c r="J8" s="124"/>
    </row>
    <row r="9" spans="1:10" ht="15" x14ac:dyDescent="0.2">
      <c r="A9" s="280"/>
      <c r="B9" s="280"/>
      <c r="C9" s="280"/>
      <c r="D9" s="280"/>
      <c r="E9" s="280"/>
      <c r="F9" s="280"/>
      <c r="G9" s="280"/>
      <c r="H9" s="280"/>
      <c r="I9" s="280"/>
      <c r="J9" s="280"/>
    </row>
    <row r="10" spans="1:10" ht="14.25" customHeight="1" x14ac:dyDescent="0.2">
      <c r="A10" s="128" t="s">
        <v>265</v>
      </c>
      <c r="B10" s="128"/>
      <c r="C10" s="128"/>
      <c r="D10" s="128"/>
      <c r="E10" s="128"/>
      <c r="F10" s="128"/>
      <c r="G10" s="128"/>
      <c r="H10" s="128"/>
      <c r="I10" s="128"/>
      <c r="J10" s="128"/>
    </row>
    <row r="11" spans="1:10" x14ac:dyDescent="0.2">
      <c r="A11" s="129" t="s">
        <v>495</v>
      </c>
      <c r="B11" s="129"/>
      <c r="C11" s="129"/>
      <c r="D11" s="129"/>
      <c r="E11" s="129"/>
      <c r="F11" s="129"/>
      <c r="G11" s="129"/>
      <c r="H11" s="129"/>
      <c r="I11" s="129"/>
      <c r="J11" s="129"/>
    </row>
    <row r="12" spans="1:10" x14ac:dyDescent="0.2">
      <c r="A12" s="129"/>
      <c r="B12" s="129"/>
      <c r="C12" s="129"/>
      <c r="D12" s="129"/>
      <c r="E12" s="129"/>
      <c r="F12" s="129"/>
      <c r="G12" s="129"/>
      <c r="H12" s="129"/>
      <c r="I12" s="129"/>
      <c r="J12" s="129"/>
    </row>
    <row r="13" spans="1:10" x14ac:dyDescent="0.2">
      <c r="A13" s="128" t="s">
        <v>267</v>
      </c>
      <c r="B13" s="128"/>
      <c r="C13" s="128"/>
      <c r="D13" s="128"/>
      <c r="E13" s="128"/>
      <c r="F13" s="128"/>
      <c r="G13" s="128"/>
      <c r="H13" s="128"/>
      <c r="I13" s="128"/>
      <c r="J13" s="128"/>
    </row>
    <row r="14" spans="1:10" ht="15" customHeight="1" x14ac:dyDescent="0.2">
      <c r="A14" s="129" t="s">
        <v>496</v>
      </c>
      <c r="B14" s="129"/>
      <c r="C14" s="129"/>
      <c r="D14" s="129"/>
      <c r="E14" s="129"/>
      <c r="F14" s="129"/>
      <c r="G14" s="129"/>
      <c r="H14" s="129"/>
      <c r="I14" s="129"/>
      <c r="J14" s="129"/>
    </row>
    <row r="15" spans="1:10" x14ac:dyDescent="0.2">
      <c r="A15" s="128" t="s">
        <v>269</v>
      </c>
      <c r="B15" s="128"/>
      <c r="C15" s="128"/>
      <c r="D15" s="128"/>
      <c r="E15" s="128"/>
      <c r="F15" s="128"/>
      <c r="G15" s="128"/>
      <c r="H15" s="128"/>
      <c r="I15" s="128"/>
      <c r="J15" s="128"/>
    </row>
    <row r="16" spans="1:10" x14ac:dyDescent="0.2">
      <c r="A16" s="129" t="s">
        <v>497</v>
      </c>
      <c r="B16" s="129"/>
      <c r="C16" s="129"/>
      <c r="D16" s="129"/>
      <c r="E16" s="129"/>
      <c r="F16" s="129"/>
      <c r="G16" s="129"/>
      <c r="H16" s="129"/>
      <c r="I16" s="129"/>
      <c r="J16" s="129"/>
    </row>
    <row r="17" spans="1:10" x14ac:dyDescent="0.2">
      <c r="A17" s="128" t="s">
        <v>498</v>
      </c>
      <c r="B17" s="128"/>
      <c r="C17" s="128"/>
      <c r="D17" s="128"/>
      <c r="E17" s="128"/>
      <c r="F17" s="128"/>
      <c r="G17" s="128"/>
      <c r="H17" s="128"/>
      <c r="I17" s="128"/>
      <c r="J17" s="128"/>
    </row>
    <row r="18" spans="1:10" ht="23.25" customHeight="1" x14ac:dyDescent="0.2">
      <c r="A18" s="129" t="s">
        <v>593</v>
      </c>
      <c r="B18" s="310"/>
      <c r="C18" s="310"/>
      <c r="D18" s="310"/>
      <c r="E18" s="310"/>
      <c r="F18" s="310"/>
      <c r="G18" s="310"/>
      <c r="H18" s="310"/>
      <c r="I18" s="310"/>
      <c r="J18" s="310"/>
    </row>
    <row r="19" spans="1:10" ht="33.75" x14ac:dyDescent="0.2">
      <c r="A19" s="130" t="s">
        <v>243</v>
      </c>
      <c r="B19" s="131" t="s">
        <v>242</v>
      </c>
      <c r="C19" s="131"/>
      <c r="D19" s="131"/>
      <c r="E19" s="132" t="str">
        <f>Summary!$G$25</f>
        <v>Actuals           2014-2015</v>
      </c>
      <c r="F19" s="132" t="str">
        <f>Summary!$H$25</f>
        <v>Approved Estimates          2015-2016</v>
      </c>
      <c r="G19" s="132" t="str">
        <f>Summary!$I$25</f>
        <v>Revised Estimates                 2015-2016</v>
      </c>
      <c r="H19" s="132" t="str">
        <f>Summary!$J$25</f>
        <v>Budget Estimates      2016-2017</v>
      </c>
      <c r="I19" s="132" t="str">
        <f>Summary!$K$25</f>
        <v>Forward Estimates     2017-2018</v>
      </c>
      <c r="J19" s="132" t="str">
        <f>Summary!$L$25</f>
        <v>Forward Estimates     2018-2019</v>
      </c>
    </row>
    <row r="20" spans="1:10" x14ac:dyDescent="0.2">
      <c r="A20" s="128" t="s">
        <v>276</v>
      </c>
      <c r="B20" s="128"/>
      <c r="C20" s="128"/>
      <c r="D20" s="128"/>
      <c r="E20" s="128"/>
      <c r="F20" s="128"/>
      <c r="G20" s="128"/>
      <c r="H20" s="128"/>
      <c r="I20" s="128"/>
      <c r="J20" s="128"/>
    </row>
    <row r="21" spans="1:10" x14ac:dyDescent="0.2">
      <c r="A21" s="207" t="s">
        <v>594</v>
      </c>
      <c r="B21" s="129" t="s">
        <v>505</v>
      </c>
      <c r="C21" s="129"/>
      <c r="D21" s="129"/>
      <c r="E21" s="211">
        <f t="shared" ref="E21:J21" si="0">E53</f>
        <v>0</v>
      </c>
      <c r="F21" s="209">
        <f t="shared" si="0"/>
        <v>0</v>
      </c>
      <c r="G21" s="211">
        <f t="shared" si="0"/>
        <v>0</v>
      </c>
      <c r="H21" s="210">
        <f t="shared" si="0"/>
        <v>25000</v>
      </c>
      <c r="I21" s="211">
        <f t="shared" si="0"/>
        <v>25000</v>
      </c>
      <c r="J21" s="211">
        <f t="shared" si="0"/>
        <v>25000</v>
      </c>
    </row>
    <row r="22" spans="1:10" x14ac:dyDescent="0.2">
      <c r="A22" s="137" t="s">
        <v>508</v>
      </c>
      <c r="B22" s="137"/>
      <c r="C22" s="137"/>
      <c r="D22" s="137"/>
      <c r="E22" s="138">
        <f t="shared" ref="E22:J22" si="1">SUM(E21:E21)</f>
        <v>0</v>
      </c>
      <c r="F22" s="138">
        <f t="shared" si="1"/>
        <v>0</v>
      </c>
      <c r="G22" s="138">
        <f t="shared" si="1"/>
        <v>0</v>
      </c>
      <c r="H22" s="138">
        <f t="shared" si="1"/>
        <v>25000</v>
      </c>
      <c r="I22" s="138">
        <f t="shared" si="1"/>
        <v>25000</v>
      </c>
      <c r="J22" s="138">
        <f t="shared" si="1"/>
        <v>25000</v>
      </c>
    </row>
    <row r="23" spans="1:10" x14ac:dyDescent="0.2">
      <c r="A23" s="129"/>
      <c r="B23" s="129"/>
      <c r="C23" s="129"/>
      <c r="D23" s="129"/>
      <c r="E23" s="129"/>
      <c r="F23" s="129"/>
      <c r="G23" s="129"/>
      <c r="H23" s="129"/>
      <c r="I23" s="129"/>
      <c r="J23" s="129"/>
    </row>
    <row r="24" spans="1:10" x14ac:dyDescent="0.2">
      <c r="A24" s="128" t="s">
        <v>281</v>
      </c>
      <c r="B24" s="128"/>
      <c r="C24" s="128"/>
      <c r="D24" s="128"/>
      <c r="E24" s="128"/>
      <c r="F24" s="128"/>
      <c r="G24" s="128"/>
      <c r="H24" s="128"/>
      <c r="I24" s="128"/>
      <c r="J24" s="128"/>
    </row>
    <row r="25" spans="1:10" x14ac:dyDescent="0.2">
      <c r="A25" s="207" t="s">
        <v>594</v>
      </c>
      <c r="B25" s="129" t="s">
        <v>505</v>
      </c>
      <c r="C25" s="129"/>
      <c r="D25" s="129"/>
      <c r="E25" s="211">
        <f t="shared" ref="E25:J25" si="2">E77+E84</f>
        <v>0</v>
      </c>
      <c r="F25" s="209">
        <f t="shared" si="2"/>
        <v>0</v>
      </c>
      <c r="G25" s="211">
        <f t="shared" si="2"/>
        <v>0</v>
      </c>
      <c r="H25" s="210">
        <f t="shared" si="2"/>
        <v>1258000</v>
      </c>
      <c r="I25" s="211">
        <f t="shared" si="2"/>
        <v>1305900</v>
      </c>
      <c r="J25" s="211">
        <f t="shared" si="2"/>
        <v>1316700</v>
      </c>
    </row>
    <row r="26" spans="1:10" x14ac:dyDescent="0.2">
      <c r="A26" s="139" t="s">
        <v>509</v>
      </c>
      <c r="B26" s="139"/>
      <c r="C26" s="139"/>
      <c r="D26" s="139"/>
      <c r="E26" s="140">
        <f t="shared" ref="E26:J26" si="3">SUM(E25:E25)</f>
        <v>0</v>
      </c>
      <c r="F26" s="140">
        <f t="shared" si="3"/>
        <v>0</v>
      </c>
      <c r="G26" s="140">
        <f t="shared" si="3"/>
        <v>0</v>
      </c>
      <c r="H26" s="140">
        <f t="shared" si="3"/>
        <v>1258000</v>
      </c>
      <c r="I26" s="140">
        <f t="shared" si="3"/>
        <v>1305900</v>
      </c>
      <c r="J26" s="140">
        <f t="shared" si="3"/>
        <v>1316700</v>
      </c>
    </row>
    <row r="27" spans="1:10" x14ac:dyDescent="0.2">
      <c r="A27" s="151"/>
      <c r="B27" s="151"/>
      <c r="C27" s="151"/>
      <c r="D27" s="151"/>
      <c r="E27" s="261"/>
      <c r="F27" s="286"/>
      <c r="G27" s="261"/>
      <c r="H27" s="303"/>
      <c r="I27" s="261"/>
      <c r="J27" s="261"/>
    </row>
    <row r="28" spans="1:10" x14ac:dyDescent="0.2">
      <c r="A28" s="141" t="s">
        <v>283</v>
      </c>
      <c r="B28" s="141"/>
      <c r="C28" s="141"/>
      <c r="D28" s="141"/>
      <c r="E28" s="141"/>
      <c r="F28" s="141"/>
      <c r="G28" s="141"/>
      <c r="H28" s="141"/>
      <c r="I28" s="141"/>
      <c r="J28" s="141"/>
    </row>
    <row r="29" spans="1:10" x14ac:dyDescent="0.2">
      <c r="A29" s="131" t="s">
        <v>284</v>
      </c>
      <c r="B29" s="131"/>
      <c r="C29" s="131"/>
      <c r="D29" s="131"/>
      <c r="E29" s="131"/>
      <c r="F29" s="131"/>
      <c r="G29" s="131"/>
      <c r="H29" s="131"/>
      <c r="I29" s="131"/>
      <c r="J29" s="131"/>
    </row>
    <row r="30" spans="1:10" x14ac:dyDescent="0.2">
      <c r="A30" s="207"/>
      <c r="B30" s="129" t="s">
        <v>7</v>
      </c>
      <c r="C30" s="129"/>
      <c r="D30" s="129"/>
      <c r="E30" s="211">
        <f t="shared" ref="E30:J30" si="4">E122</f>
        <v>0</v>
      </c>
      <c r="F30" s="209">
        <f t="shared" si="4"/>
        <v>0</v>
      </c>
      <c r="G30" s="211">
        <f t="shared" si="4"/>
        <v>0</v>
      </c>
      <c r="H30" s="210">
        <f t="shared" si="4"/>
        <v>732500</v>
      </c>
      <c r="I30" s="211">
        <f t="shared" si="4"/>
        <v>778900</v>
      </c>
      <c r="J30" s="211">
        <f t="shared" si="4"/>
        <v>788100</v>
      </c>
    </row>
    <row r="31" spans="1:10" x14ac:dyDescent="0.2">
      <c r="A31" s="207"/>
      <c r="B31" s="129" t="s">
        <v>196</v>
      </c>
      <c r="C31" s="129"/>
      <c r="D31" s="129"/>
      <c r="E31" s="211">
        <f t="shared" ref="E31:J31" si="5">E125</f>
        <v>0</v>
      </c>
      <c r="F31" s="209">
        <f t="shared" si="5"/>
        <v>0</v>
      </c>
      <c r="G31" s="211">
        <f t="shared" si="5"/>
        <v>0</v>
      </c>
      <c r="H31" s="210">
        <f t="shared" si="5"/>
        <v>11000</v>
      </c>
      <c r="I31" s="211">
        <f t="shared" si="5"/>
        <v>11000</v>
      </c>
      <c r="J31" s="211">
        <f t="shared" si="5"/>
        <v>11000</v>
      </c>
    </row>
    <row r="32" spans="1:10" x14ac:dyDescent="0.2">
      <c r="A32" s="207"/>
      <c r="B32" s="129" t="s">
        <v>285</v>
      </c>
      <c r="C32" s="129"/>
      <c r="D32" s="129"/>
      <c r="E32" s="211">
        <f t="shared" ref="E32:J32" si="6">E128</f>
        <v>0</v>
      </c>
      <c r="F32" s="209">
        <f t="shared" si="6"/>
        <v>0</v>
      </c>
      <c r="G32" s="211">
        <f t="shared" si="6"/>
        <v>0</v>
      </c>
      <c r="H32" s="210">
        <f t="shared" si="6"/>
        <v>202000</v>
      </c>
      <c r="I32" s="211">
        <f t="shared" si="6"/>
        <v>202000</v>
      </c>
      <c r="J32" s="211">
        <f t="shared" si="6"/>
        <v>202000</v>
      </c>
    </row>
    <row r="33" spans="1:10" x14ac:dyDescent="0.2">
      <c r="A33" s="207"/>
      <c r="B33" s="129" t="s">
        <v>198</v>
      </c>
      <c r="C33" s="129"/>
      <c r="D33" s="129"/>
      <c r="E33" s="211">
        <f t="shared" ref="E33:J33" si="7">E131</f>
        <v>0</v>
      </c>
      <c r="F33" s="209">
        <f t="shared" si="7"/>
        <v>0</v>
      </c>
      <c r="G33" s="211">
        <f t="shared" si="7"/>
        <v>0</v>
      </c>
      <c r="H33" s="210">
        <f t="shared" si="7"/>
        <v>56500</v>
      </c>
      <c r="I33" s="211">
        <f t="shared" si="7"/>
        <v>58000</v>
      </c>
      <c r="J33" s="211">
        <f t="shared" si="7"/>
        <v>59600</v>
      </c>
    </row>
    <row r="34" spans="1:10" x14ac:dyDescent="0.2">
      <c r="A34" s="207"/>
      <c r="B34" s="129" t="s">
        <v>286</v>
      </c>
      <c r="C34" s="129"/>
      <c r="D34" s="129"/>
      <c r="E34" s="211">
        <f t="shared" ref="E34:J34" si="8">E134</f>
        <v>0</v>
      </c>
      <c r="F34" s="209">
        <f t="shared" si="8"/>
        <v>0</v>
      </c>
      <c r="G34" s="211">
        <f t="shared" si="8"/>
        <v>0</v>
      </c>
      <c r="H34" s="210">
        <f t="shared" si="8"/>
        <v>256000</v>
      </c>
      <c r="I34" s="211">
        <f t="shared" si="8"/>
        <v>256000</v>
      </c>
      <c r="J34" s="211">
        <f t="shared" si="8"/>
        <v>256000</v>
      </c>
    </row>
    <row r="35" spans="1:10" x14ac:dyDescent="0.2">
      <c r="A35" s="139" t="s">
        <v>287</v>
      </c>
      <c r="B35" s="139"/>
      <c r="C35" s="139"/>
      <c r="D35" s="139"/>
      <c r="E35" s="140">
        <f t="shared" ref="E35:J35" si="9">SUM(E30:E34)</f>
        <v>0</v>
      </c>
      <c r="F35" s="140">
        <f t="shared" si="9"/>
        <v>0</v>
      </c>
      <c r="G35" s="140">
        <f t="shared" si="9"/>
        <v>0</v>
      </c>
      <c r="H35" s="140">
        <f t="shared" si="9"/>
        <v>1258000</v>
      </c>
      <c r="I35" s="140">
        <f t="shared" si="9"/>
        <v>1305900</v>
      </c>
      <c r="J35" s="140">
        <f t="shared" si="9"/>
        <v>1316700</v>
      </c>
    </row>
    <row r="36" spans="1:10" x14ac:dyDescent="0.2">
      <c r="A36" s="129"/>
      <c r="B36" s="129"/>
      <c r="C36" s="129"/>
      <c r="D36" s="129"/>
      <c r="E36" s="129"/>
      <c r="F36" s="129"/>
      <c r="G36" s="129"/>
      <c r="H36" s="129"/>
      <c r="I36" s="129"/>
      <c r="J36" s="129"/>
    </row>
    <row r="37" spans="1:10" x14ac:dyDescent="0.2">
      <c r="A37" s="131" t="s">
        <v>15</v>
      </c>
      <c r="B37" s="131"/>
      <c r="C37" s="131"/>
      <c r="D37" s="131"/>
      <c r="E37" s="131"/>
      <c r="F37" s="131"/>
      <c r="G37" s="131"/>
      <c r="H37" s="131"/>
      <c r="I37" s="131"/>
      <c r="J37" s="131"/>
    </row>
    <row r="38" spans="1:10" x14ac:dyDescent="0.2">
      <c r="A38" s="130" t="s">
        <v>243</v>
      </c>
      <c r="B38" s="130" t="s">
        <v>244</v>
      </c>
      <c r="C38" s="131" t="s">
        <v>245</v>
      </c>
      <c r="D38" s="142"/>
      <c r="E38" s="143"/>
      <c r="F38" s="143"/>
      <c r="G38" s="143"/>
      <c r="H38" s="143"/>
      <c r="I38" s="143"/>
      <c r="J38" s="143"/>
    </row>
    <row r="39" spans="1:10" x14ac:dyDescent="0.2">
      <c r="A39" s="261"/>
      <c r="B39" s="261"/>
      <c r="C39" s="129"/>
      <c r="D39" s="101"/>
      <c r="E39" s="211"/>
      <c r="F39" s="209"/>
      <c r="G39" s="211"/>
      <c r="H39" s="210"/>
      <c r="I39" s="211"/>
      <c r="J39" s="211"/>
    </row>
    <row r="40" spans="1:10" x14ac:dyDescent="0.2">
      <c r="A40" s="139" t="s">
        <v>69</v>
      </c>
      <c r="B40" s="139"/>
      <c r="C40" s="139"/>
      <c r="D40" s="139"/>
      <c r="E40" s="140">
        <f t="shared" ref="E40:J40" si="10">SUM(E39:E39)</f>
        <v>0</v>
      </c>
      <c r="F40" s="140">
        <f t="shared" si="10"/>
        <v>0</v>
      </c>
      <c r="G40" s="140">
        <f t="shared" si="10"/>
        <v>0</v>
      </c>
      <c r="H40" s="140">
        <f t="shared" si="10"/>
        <v>0</v>
      </c>
      <c r="I40" s="140">
        <f t="shared" si="10"/>
        <v>0</v>
      </c>
      <c r="J40" s="140">
        <f t="shared" si="10"/>
        <v>0</v>
      </c>
    </row>
    <row r="41" spans="1:10" x14ac:dyDescent="0.2">
      <c r="A41" s="129"/>
      <c r="B41" s="129"/>
      <c r="C41" s="129"/>
      <c r="D41" s="129"/>
      <c r="E41" s="129"/>
      <c r="F41" s="129"/>
      <c r="G41" s="129"/>
      <c r="H41" s="129"/>
      <c r="I41" s="129"/>
      <c r="J41" s="129"/>
    </row>
    <row r="42" spans="1:10" x14ac:dyDescent="0.2">
      <c r="A42" s="137" t="s">
        <v>509</v>
      </c>
      <c r="B42" s="137"/>
      <c r="C42" s="137"/>
      <c r="D42" s="137"/>
      <c r="E42" s="147">
        <f t="shared" ref="E42:J42" si="11">SUM(E35,E40)</f>
        <v>0</v>
      </c>
      <c r="F42" s="147">
        <f t="shared" si="11"/>
        <v>0</v>
      </c>
      <c r="G42" s="147">
        <f t="shared" si="11"/>
        <v>0</v>
      </c>
      <c r="H42" s="147">
        <f t="shared" si="11"/>
        <v>1258000</v>
      </c>
      <c r="I42" s="147">
        <f t="shared" si="11"/>
        <v>1305900</v>
      </c>
      <c r="J42" s="147">
        <f t="shared" si="11"/>
        <v>1316700</v>
      </c>
    </row>
    <row r="43" spans="1:10" x14ac:dyDescent="0.2">
      <c r="A43" s="129"/>
      <c r="B43" s="129"/>
      <c r="C43" s="129"/>
      <c r="D43" s="129"/>
      <c r="E43" s="129"/>
      <c r="F43" s="129"/>
      <c r="G43" s="129"/>
      <c r="H43" s="129"/>
      <c r="I43" s="129"/>
      <c r="J43" s="129"/>
    </row>
    <row r="44" spans="1:10" x14ac:dyDescent="0.2">
      <c r="A44" s="128" t="s">
        <v>288</v>
      </c>
      <c r="B44" s="128"/>
      <c r="C44" s="128"/>
      <c r="D44" s="128"/>
      <c r="E44" s="128"/>
      <c r="F44" s="128"/>
      <c r="G44" s="128"/>
      <c r="H44" s="128"/>
      <c r="I44" s="128"/>
      <c r="J44" s="128"/>
    </row>
    <row r="45" spans="1:10" x14ac:dyDescent="0.2">
      <c r="A45" s="137" t="s">
        <v>289</v>
      </c>
      <c r="B45" s="137"/>
      <c r="C45" s="137"/>
      <c r="D45" s="137"/>
      <c r="E45" s="149"/>
      <c r="F45" s="149"/>
      <c r="G45" s="149"/>
      <c r="H45" s="148"/>
      <c r="I45" s="149"/>
      <c r="J45" s="149"/>
    </row>
    <row r="46" spans="1:10" x14ac:dyDescent="0.2">
      <c r="A46" s="129"/>
      <c r="B46" s="129"/>
      <c r="C46" s="129"/>
      <c r="D46" s="129"/>
      <c r="E46" s="129"/>
      <c r="F46" s="129"/>
      <c r="G46" s="129"/>
      <c r="H46" s="129"/>
      <c r="I46" s="129"/>
      <c r="J46" s="129"/>
    </row>
    <row r="47" spans="1:10" x14ac:dyDescent="0.2">
      <c r="A47" s="150" t="s">
        <v>542</v>
      </c>
      <c r="B47" s="150"/>
      <c r="C47" s="150"/>
      <c r="D47" s="150"/>
      <c r="E47" s="150"/>
      <c r="F47" s="150"/>
      <c r="G47" s="150"/>
      <c r="H47" s="150"/>
      <c r="I47" s="150"/>
      <c r="J47" s="150"/>
    </row>
    <row r="48" spans="1:10" ht="24.75" customHeight="1" x14ac:dyDescent="0.2">
      <c r="A48" s="151" t="s">
        <v>291</v>
      </c>
      <c r="B48" s="151"/>
      <c r="C48" s="151"/>
      <c r="D48" s="101"/>
      <c r="E48" s="101"/>
      <c r="F48" s="101"/>
      <c r="G48" s="101"/>
      <c r="H48" s="101"/>
      <c r="I48" s="101"/>
      <c r="J48" s="101"/>
    </row>
    <row r="49" spans="1:10" ht="25.5" customHeight="1" x14ac:dyDescent="0.2">
      <c r="A49" s="129" t="s">
        <v>543</v>
      </c>
      <c r="B49" s="129"/>
      <c r="C49" s="129"/>
      <c r="D49" s="129"/>
      <c r="E49" s="129"/>
      <c r="F49" s="129"/>
      <c r="G49" s="129"/>
      <c r="H49" s="129"/>
      <c r="I49" s="129"/>
      <c r="J49" s="129"/>
    </row>
    <row r="50" spans="1:10" x14ac:dyDescent="0.2">
      <c r="A50" s="128" t="s">
        <v>293</v>
      </c>
      <c r="B50" s="128"/>
      <c r="C50" s="128"/>
      <c r="D50" s="128"/>
      <c r="E50" s="128"/>
      <c r="F50" s="128"/>
      <c r="G50" s="128"/>
      <c r="H50" s="128"/>
      <c r="I50" s="128"/>
      <c r="J50" s="128"/>
    </row>
    <row r="51" spans="1:10" ht="33.75" x14ac:dyDescent="0.2">
      <c r="A51" s="152" t="s">
        <v>243</v>
      </c>
      <c r="B51" s="151" t="s">
        <v>242</v>
      </c>
      <c r="C51" s="151"/>
      <c r="D51" s="151"/>
      <c r="E51" s="132" t="str">
        <f t="shared" ref="E51:J51" si="12">E19</f>
        <v>Actuals           2014-2015</v>
      </c>
      <c r="F51" s="132" t="str">
        <f t="shared" si="12"/>
        <v>Approved Estimates          2015-2016</v>
      </c>
      <c r="G51" s="132" t="str">
        <f t="shared" si="12"/>
        <v>Revised Estimates                 2015-2016</v>
      </c>
      <c r="H51" s="132" t="str">
        <f t="shared" si="12"/>
        <v>Budget Estimates      2016-2017</v>
      </c>
      <c r="I51" s="132" t="str">
        <f t="shared" si="12"/>
        <v>Forward Estimates     2017-2018</v>
      </c>
      <c r="J51" s="132" t="str">
        <f t="shared" si="12"/>
        <v>Forward Estimates     2018-2019</v>
      </c>
    </row>
    <row r="52" spans="1:10" x14ac:dyDescent="0.2">
      <c r="A52" s="133">
        <v>130</v>
      </c>
      <c r="B52" s="129" t="s">
        <v>544</v>
      </c>
      <c r="C52" s="101"/>
      <c r="D52" s="101"/>
      <c r="E52" s="211">
        <v>0</v>
      </c>
      <c r="F52" s="209">
        <v>0</v>
      </c>
      <c r="G52" s="211">
        <v>0</v>
      </c>
      <c r="H52" s="210">
        <v>25000</v>
      </c>
      <c r="I52" s="211">
        <v>25000</v>
      </c>
      <c r="J52" s="211">
        <v>25000</v>
      </c>
    </row>
    <row r="53" spans="1:10" x14ac:dyDescent="0.2">
      <c r="A53" s="137" t="s">
        <v>293</v>
      </c>
      <c r="B53" s="137"/>
      <c r="C53" s="137"/>
      <c r="D53" s="137"/>
      <c r="E53" s="138">
        <f t="shared" ref="E53:J53" si="13">SUM(E52:E52)</f>
        <v>0</v>
      </c>
      <c r="F53" s="138">
        <f t="shared" si="13"/>
        <v>0</v>
      </c>
      <c r="G53" s="138">
        <f t="shared" si="13"/>
        <v>0</v>
      </c>
      <c r="H53" s="138">
        <f t="shared" si="13"/>
        <v>25000</v>
      </c>
      <c r="I53" s="138">
        <f t="shared" si="13"/>
        <v>25000</v>
      </c>
      <c r="J53" s="138">
        <f t="shared" si="13"/>
        <v>25000</v>
      </c>
    </row>
    <row r="54" spans="1:10" x14ac:dyDescent="0.2">
      <c r="A54" s="129"/>
      <c r="B54" s="129"/>
      <c r="C54" s="129"/>
      <c r="D54" s="129"/>
      <c r="E54" s="129"/>
      <c r="F54" s="129"/>
      <c r="G54" s="129"/>
      <c r="H54" s="129"/>
      <c r="I54" s="129"/>
      <c r="J54" s="129"/>
    </row>
    <row r="55" spans="1:10" x14ac:dyDescent="0.2">
      <c r="A55" s="128" t="s">
        <v>284</v>
      </c>
      <c r="B55" s="128"/>
      <c r="C55" s="128"/>
      <c r="D55" s="128"/>
      <c r="E55" s="128"/>
      <c r="F55" s="128"/>
      <c r="G55" s="128"/>
      <c r="H55" s="128"/>
      <c r="I55" s="128"/>
      <c r="J55" s="128"/>
    </row>
    <row r="56" spans="1:10" ht="33.75" x14ac:dyDescent="0.2">
      <c r="A56" s="152" t="s">
        <v>243</v>
      </c>
      <c r="B56" s="151" t="s">
        <v>242</v>
      </c>
      <c r="C56" s="151"/>
      <c r="D56" s="151"/>
      <c r="E56" s="132" t="str">
        <f t="shared" ref="E56:J56" si="14">E19</f>
        <v>Actuals           2014-2015</v>
      </c>
      <c r="F56" s="132" t="str">
        <f t="shared" si="14"/>
        <v>Approved Estimates          2015-2016</v>
      </c>
      <c r="G56" s="132" t="str">
        <f t="shared" si="14"/>
        <v>Revised Estimates                 2015-2016</v>
      </c>
      <c r="H56" s="132" t="str">
        <f t="shared" si="14"/>
        <v>Budget Estimates      2016-2017</v>
      </c>
      <c r="I56" s="132" t="str">
        <f t="shared" si="14"/>
        <v>Forward Estimates     2017-2018</v>
      </c>
      <c r="J56" s="132" t="str">
        <f t="shared" si="14"/>
        <v>Forward Estimates     2018-2019</v>
      </c>
    </row>
    <row r="57" spans="1:10" x14ac:dyDescent="0.2">
      <c r="A57" s="151" t="s">
        <v>7</v>
      </c>
      <c r="B57" s="151"/>
      <c r="C57" s="151"/>
      <c r="D57" s="151"/>
      <c r="E57" s="151"/>
      <c r="F57" s="151"/>
      <c r="G57" s="151"/>
      <c r="H57" s="151"/>
      <c r="I57" s="151"/>
      <c r="J57" s="190"/>
    </row>
    <row r="58" spans="1:10" x14ac:dyDescent="0.2">
      <c r="A58" s="207">
        <v>210</v>
      </c>
      <c r="B58" s="129" t="s">
        <v>7</v>
      </c>
      <c r="C58" s="129"/>
      <c r="D58" s="129"/>
      <c r="E58" s="211">
        <v>0</v>
      </c>
      <c r="F58" s="209">
        <v>0</v>
      </c>
      <c r="G58" s="211">
        <v>0</v>
      </c>
      <c r="H58" s="210">
        <v>732500</v>
      </c>
      <c r="I58" s="211">
        <v>778900</v>
      </c>
      <c r="J58" s="211">
        <v>788100</v>
      </c>
    </row>
    <row r="59" spans="1:10" x14ac:dyDescent="0.2">
      <c r="A59" s="207">
        <v>212</v>
      </c>
      <c r="B59" s="129" t="s">
        <v>9</v>
      </c>
      <c r="C59" s="129"/>
      <c r="D59" s="129"/>
      <c r="E59" s="211">
        <v>0</v>
      </c>
      <c r="F59" s="209">
        <v>0</v>
      </c>
      <c r="G59" s="211">
        <v>0</v>
      </c>
      <c r="H59" s="210">
        <v>11000</v>
      </c>
      <c r="I59" s="211">
        <v>11000</v>
      </c>
      <c r="J59" s="211">
        <v>11000</v>
      </c>
    </row>
    <row r="60" spans="1:10" x14ac:dyDescent="0.2">
      <c r="A60" s="207">
        <v>216</v>
      </c>
      <c r="B60" s="129" t="s">
        <v>10</v>
      </c>
      <c r="C60" s="129"/>
      <c r="D60" s="129"/>
      <c r="E60" s="211">
        <v>0</v>
      </c>
      <c r="F60" s="209">
        <v>0</v>
      </c>
      <c r="G60" s="211">
        <v>0</v>
      </c>
      <c r="H60" s="210">
        <v>202000</v>
      </c>
      <c r="I60" s="211">
        <v>202000</v>
      </c>
      <c r="J60" s="211">
        <v>202000</v>
      </c>
    </row>
    <row r="61" spans="1:10" x14ac:dyDescent="0.2">
      <c r="A61" s="207">
        <v>218</v>
      </c>
      <c r="B61" s="129" t="s">
        <v>294</v>
      </c>
      <c r="C61" s="129"/>
      <c r="D61" s="129"/>
      <c r="E61" s="211">
        <v>0</v>
      </c>
      <c r="F61" s="209">
        <v>0</v>
      </c>
      <c r="G61" s="211">
        <v>0</v>
      </c>
      <c r="H61" s="210">
        <v>56500</v>
      </c>
      <c r="I61" s="211">
        <v>58000</v>
      </c>
      <c r="J61" s="211">
        <v>59600</v>
      </c>
    </row>
    <row r="62" spans="1:10" x14ac:dyDescent="0.2">
      <c r="A62" s="156" t="s">
        <v>295</v>
      </c>
      <c r="B62" s="156"/>
      <c r="C62" s="156"/>
      <c r="D62" s="156"/>
      <c r="E62" s="157">
        <f t="shared" ref="E62:J62" si="15">SUM(E58:E61)</f>
        <v>0</v>
      </c>
      <c r="F62" s="157">
        <f t="shared" si="15"/>
        <v>0</v>
      </c>
      <c r="G62" s="157">
        <f t="shared" si="15"/>
        <v>0</v>
      </c>
      <c r="H62" s="157">
        <f t="shared" si="15"/>
        <v>1002000</v>
      </c>
      <c r="I62" s="157">
        <f t="shared" si="15"/>
        <v>1049900</v>
      </c>
      <c r="J62" s="157">
        <f t="shared" si="15"/>
        <v>1060700</v>
      </c>
    </row>
    <row r="63" spans="1:10" x14ac:dyDescent="0.2">
      <c r="A63" s="156" t="s">
        <v>296</v>
      </c>
      <c r="B63" s="156"/>
      <c r="C63" s="156"/>
      <c r="D63" s="156"/>
      <c r="E63" s="156"/>
      <c r="F63" s="156"/>
      <c r="G63" s="156"/>
      <c r="H63" s="156"/>
      <c r="I63" s="156"/>
      <c r="J63" s="190"/>
    </row>
    <row r="64" spans="1:10" x14ac:dyDescent="0.2">
      <c r="A64" s="207">
        <v>220</v>
      </c>
      <c r="B64" s="129" t="s">
        <v>204</v>
      </c>
      <c r="C64" s="129"/>
      <c r="D64" s="129"/>
      <c r="E64" s="211">
        <v>0</v>
      </c>
      <c r="F64" s="211">
        <v>0</v>
      </c>
      <c r="G64" s="211">
        <v>0</v>
      </c>
      <c r="H64" s="210">
        <v>6000</v>
      </c>
      <c r="I64" s="211">
        <v>6000</v>
      </c>
      <c r="J64" s="211">
        <v>6000</v>
      </c>
    </row>
    <row r="65" spans="1:10" x14ac:dyDescent="0.2">
      <c r="A65" s="207">
        <v>222</v>
      </c>
      <c r="B65" s="129" t="s">
        <v>205</v>
      </c>
      <c r="C65" s="129"/>
      <c r="D65" s="129"/>
      <c r="E65" s="211">
        <v>0</v>
      </c>
      <c r="F65" s="211">
        <v>0</v>
      </c>
      <c r="G65" s="211">
        <v>0</v>
      </c>
      <c r="H65" s="210">
        <v>12000</v>
      </c>
      <c r="I65" s="211">
        <v>12000</v>
      </c>
      <c r="J65" s="211">
        <v>12000</v>
      </c>
    </row>
    <row r="66" spans="1:10" x14ac:dyDescent="0.2">
      <c r="A66" s="207">
        <v>224</v>
      </c>
      <c r="B66" s="129" t="s">
        <v>545</v>
      </c>
      <c r="C66" s="129"/>
      <c r="D66" s="129"/>
      <c r="E66" s="211">
        <v>0</v>
      </c>
      <c r="F66" s="211">
        <v>0</v>
      </c>
      <c r="G66" s="211">
        <v>0</v>
      </c>
      <c r="H66" s="210">
        <v>30000</v>
      </c>
      <c r="I66" s="211">
        <v>30000</v>
      </c>
      <c r="J66" s="211">
        <v>30000</v>
      </c>
    </row>
    <row r="67" spans="1:10" x14ac:dyDescent="0.2">
      <c r="A67" s="207">
        <v>226</v>
      </c>
      <c r="B67" s="129" t="s">
        <v>207</v>
      </c>
      <c r="C67" s="129"/>
      <c r="D67" s="129"/>
      <c r="E67" s="211">
        <v>0</v>
      </c>
      <c r="F67" s="211">
        <v>0</v>
      </c>
      <c r="G67" s="211">
        <v>0</v>
      </c>
      <c r="H67" s="210">
        <v>7500</v>
      </c>
      <c r="I67" s="211">
        <v>7500</v>
      </c>
      <c r="J67" s="211">
        <v>7500</v>
      </c>
    </row>
    <row r="68" spans="1:10" x14ac:dyDescent="0.2">
      <c r="A68" s="207">
        <v>228</v>
      </c>
      <c r="B68" s="129" t="s">
        <v>208</v>
      </c>
      <c r="C68" s="129"/>
      <c r="D68" s="129"/>
      <c r="E68" s="211">
        <v>0</v>
      </c>
      <c r="F68" s="211">
        <v>0</v>
      </c>
      <c r="G68" s="211">
        <v>0</v>
      </c>
      <c r="H68" s="210">
        <v>4000</v>
      </c>
      <c r="I68" s="211">
        <v>4000</v>
      </c>
      <c r="J68" s="211">
        <v>4000</v>
      </c>
    </row>
    <row r="69" spans="1:10" x14ac:dyDescent="0.2">
      <c r="A69" s="207">
        <v>232</v>
      </c>
      <c r="B69" s="129" t="s">
        <v>211</v>
      </c>
      <c r="C69" s="129"/>
      <c r="D69" s="129"/>
      <c r="E69" s="211">
        <v>0</v>
      </c>
      <c r="F69" s="211">
        <v>0</v>
      </c>
      <c r="G69" s="211">
        <v>0</v>
      </c>
      <c r="H69" s="210">
        <v>4700</v>
      </c>
      <c r="I69" s="211">
        <v>4700</v>
      </c>
      <c r="J69" s="211">
        <v>4700</v>
      </c>
    </row>
    <row r="70" spans="1:10" x14ac:dyDescent="0.2">
      <c r="A70" s="207">
        <v>234</v>
      </c>
      <c r="B70" s="129" t="s">
        <v>546</v>
      </c>
      <c r="C70" s="129"/>
      <c r="D70" s="129"/>
      <c r="E70" s="211">
        <v>0</v>
      </c>
      <c r="F70" s="211">
        <v>0</v>
      </c>
      <c r="G70" s="211">
        <v>0</v>
      </c>
      <c r="H70" s="210">
        <f>62000+16000</f>
        <v>78000</v>
      </c>
      <c r="I70" s="211">
        <f t="shared" ref="I70:J70" si="16">62000+16000</f>
        <v>78000</v>
      </c>
      <c r="J70" s="211">
        <f t="shared" si="16"/>
        <v>78000</v>
      </c>
    </row>
    <row r="71" spans="1:10" x14ac:dyDescent="0.2">
      <c r="A71" s="207">
        <v>236</v>
      </c>
      <c r="B71" s="129" t="s">
        <v>213</v>
      </c>
      <c r="C71" s="129"/>
      <c r="D71" s="129"/>
      <c r="E71" s="211">
        <v>0</v>
      </c>
      <c r="F71" s="211">
        <v>0</v>
      </c>
      <c r="G71" s="211">
        <v>0</v>
      </c>
      <c r="H71" s="210">
        <v>80000</v>
      </c>
      <c r="I71" s="211">
        <v>80000</v>
      </c>
      <c r="J71" s="211">
        <v>80000</v>
      </c>
    </row>
    <row r="72" spans="1:10" x14ac:dyDescent="0.2">
      <c r="A72" s="207">
        <v>242</v>
      </c>
      <c r="B72" s="129" t="s">
        <v>216</v>
      </c>
      <c r="C72" s="129"/>
      <c r="D72" s="129"/>
      <c r="E72" s="211">
        <v>0</v>
      </c>
      <c r="F72" s="211">
        <v>0</v>
      </c>
      <c r="G72" s="211">
        <v>0</v>
      </c>
      <c r="H72" s="210">
        <v>20000</v>
      </c>
      <c r="I72" s="211">
        <v>20000</v>
      </c>
      <c r="J72" s="211">
        <v>20000</v>
      </c>
    </row>
    <row r="73" spans="1:10" x14ac:dyDescent="0.2">
      <c r="A73" s="207">
        <v>246</v>
      </c>
      <c r="B73" s="129" t="s">
        <v>218</v>
      </c>
      <c r="C73" s="129"/>
      <c r="D73" s="129"/>
      <c r="E73" s="211">
        <v>0</v>
      </c>
      <c r="F73" s="211">
        <v>0</v>
      </c>
      <c r="G73" s="211">
        <v>0</v>
      </c>
      <c r="H73" s="210">
        <v>6000</v>
      </c>
      <c r="I73" s="211">
        <v>6000</v>
      </c>
      <c r="J73" s="211">
        <v>6000</v>
      </c>
    </row>
    <row r="74" spans="1:10" x14ac:dyDescent="0.2">
      <c r="A74" s="207">
        <v>260</v>
      </c>
      <c r="B74" s="129" t="s">
        <v>220</v>
      </c>
      <c r="C74" s="129"/>
      <c r="D74" s="129"/>
      <c r="E74" s="211">
        <v>0</v>
      </c>
      <c r="F74" s="211">
        <v>0</v>
      </c>
      <c r="G74" s="211">
        <v>0</v>
      </c>
      <c r="H74" s="210">
        <f>2500+300</f>
        <v>2800</v>
      </c>
      <c r="I74" s="211">
        <f t="shared" ref="I74:J74" si="17">2500+300</f>
        <v>2800</v>
      </c>
      <c r="J74" s="211">
        <f t="shared" si="17"/>
        <v>2800</v>
      </c>
    </row>
    <row r="75" spans="1:10" x14ac:dyDescent="0.2">
      <c r="A75" s="207">
        <v>275</v>
      </c>
      <c r="B75" s="129" t="s">
        <v>228</v>
      </c>
      <c r="C75" s="129"/>
      <c r="D75" s="129"/>
      <c r="E75" s="211">
        <v>0</v>
      </c>
      <c r="F75" s="211">
        <v>0</v>
      </c>
      <c r="G75" s="211">
        <v>0</v>
      </c>
      <c r="H75" s="210">
        <v>5000</v>
      </c>
      <c r="I75" s="211">
        <v>5000</v>
      </c>
      <c r="J75" s="211">
        <v>5000</v>
      </c>
    </row>
    <row r="76" spans="1:10" x14ac:dyDescent="0.2">
      <c r="A76" s="156" t="s">
        <v>298</v>
      </c>
      <c r="B76" s="156"/>
      <c r="C76" s="156"/>
      <c r="D76" s="156"/>
      <c r="E76" s="157">
        <f t="shared" ref="E76:J76" si="18">SUM(E64:E75)</f>
        <v>0</v>
      </c>
      <c r="F76" s="264">
        <f t="shared" si="18"/>
        <v>0</v>
      </c>
      <c r="G76" s="157">
        <f t="shared" si="18"/>
        <v>0</v>
      </c>
      <c r="H76" s="157">
        <f t="shared" si="18"/>
        <v>256000</v>
      </c>
      <c r="I76" s="157">
        <f t="shared" si="18"/>
        <v>256000</v>
      </c>
      <c r="J76" s="157">
        <f t="shared" si="18"/>
        <v>256000</v>
      </c>
    </row>
    <row r="77" spans="1:10" x14ac:dyDescent="0.2">
      <c r="A77" s="159" t="s">
        <v>299</v>
      </c>
      <c r="B77" s="159"/>
      <c r="C77" s="159"/>
      <c r="D77" s="159"/>
      <c r="E77" s="160">
        <f t="shared" ref="E77:J77" si="19">SUM(E62,E76)</f>
        <v>0</v>
      </c>
      <c r="F77" s="160">
        <f t="shared" si="19"/>
        <v>0</v>
      </c>
      <c r="G77" s="160">
        <f t="shared" si="19"/>
        <v>0</v>
      </c>
      <c r="H77" s="160">
        <f t="shared" si="19"/>
        <v>1258000</v>
      </c>
      <c r="I77" s="160">
        <f t="shared" si="19"/>
        <v>1305900</v>
      </c>
      <c r="J77" s="160">
        <f t="shared" si="19"/>
        <v>1316700</v>
      </c>
    </row>
    <row r="78" spans="1:10" ht="18" customHeight="1" x14ac:dyDescent="0.2">
      <c r="A78" s="289"/>
      <c r="B78" s="289"/>
      <c r="C78" s="289"/>
      <c r="D78" s="289"/>
      <c r="E78" s="289"/>
      <c r="F78" s="289"/>
      <c r="G78" s="289"/>
      <c r="H78" s="289"/>
      <c r="I78" s="289"/>
      <c r="J78" s="289"/>
    </row>
    <row r="79" spans="1:10" x14ac:dyDescent="0.2">
      <c r="A79" s="162" t="s">
        <v>15</v>
      </c>
      <c r="B79" s="162"/>
      <c r="C79" s="162"/>
      <c r="D79" s="162"/>
      <c r="E79" s="162"/>
      <c r="F79" s="162"/>
      <c r="G79" s="162"/>
      <c r="H79" s="162"/>
      <c r="I79" s="162"/>
      <c r="J79" s="162"/>
    </row>
    <row r="80" spans="1:10" ht="18.75" customHeight="1" x14ac:dyDescent="0.2">
      <c r="A80" s="131" t="s">
        <v>242</v>
      </c>
      <c r="B80" s="131"/>
      <c r="C80" s="131"/>
      <c r="D80" s="131"/>
      <c r="E80" s="128" t="str">
        <f t="shared" ref="E80:J80" si="20">E19</f>
        <v>Actuals           2014-2015</v>
      </c>
      <c r="F80" s="128" t="str">
        <f t="shared" si="20"/>
        <v>Approved Estimates          2015-2016</v>
      </c>
      <c r="G80" s="128" t="str">
        <f t="shared" si="20"/>
        <v>Revised Estimates                 2015-2016</v>
      </c>
      <c r="H80" s="128" t="str">
        <f t="shared" si="20"/>
        <v>Budget Estimates      2016-2017</v>
      </c>
      <c r="I80" s="128" t="str">
        <f t="shared" si="20"/>
        <v>Forward Estimates     2017-2018</v>
      </c>
      <c r="J80" s="128" t="str">
        <f t="shared" si="20"/>
        <v>Forward Estimates     2018-2019</v>
      </c>
    </row>
    <row r="81" spans="1:10" x14ac:dyDescent="0.2">
      <c r="A81" s="130" t="s">
        <v>243</v>
      </c>
      <c r="B81" s="130" t="s">
        <v>244</v>
      </c>
      <c r="C81" s="131" t="s">
        <v>245</v>
      </c>
      <c r="D81" s="131"/>
      <c r="E81" s="101"/>
      <c r="F81" s="101"/>
      <c r="G81" s="101"/>
      <c r="H81" s="101"/>
      <c r="I81" s="101"/>
      <c r="J81" s="101"/>
    </row>
    <row r="82" spans="1:10" x14ac:dyDescent="0.2">
      <c r="A82" s="163"/>
      <c r="B82" s="163"/>
      <c r="C82" s="156"/>
      <c r="D82" s="156"/>
      <c r="E82" s="158"/>
      <c r="F82" s="209"/>
      <c r="G82" s="158"/>
      <c r="H82" s="136"/>
      <c r="I82" s="158"/>
      <c r="J82" s="135"/>
    </row>
    <row r="83" spans="1:10" x14ac:dyDescent="0.2">
      <c r="A83" s="163"/>
      <c r="B83" s="163"/>
      <c r="C83" s="156"/>
      <c r="D83" s="156"/>
      <c r="E83" s="158"/>
      <c r="F83" s="209"/>
      <c r="G83" s="158"/>
      <c r="H83" s="136"/>
      <c r="I83" s="158"/>
      <c r="J83" s="135"/>
    </row>
    <row r="84" spans="1:10" ht="15" customHeight="1" x14ac:dyDescent="0.2">
      <c r="A84" s="137" t="s">
        <v>15</v>
      </c>
      <c r="B84" s="137"/>
      <c r="C84" s="137"/>
      <c r="D84" s="137"/>
      <c r="E84" s="138">
        <v>0</v>
      </c>
      <c r="F84" s="138">
        <v>0</v>
      </c>
      <c r="G84" s="138">
        <v>0</v>
      </c>
      <c r="H84" s="138">
        <v>0</v>
      </c>
      <c r="I84" s="138">
        <v>0</v>
      </c>
      <c r="J84" s="138">
        <v>0</v>
      </c>
    </row>
    <row r="85" spans="1:10" x14ac:dyDescent="0.2">
      <c r="A85" s="134"/>
      <c r="B85" s="134"/>
      <c r="C85" s="134"/>
      <c r="D85" s="134"/>
      <c r="E85" s="134"/>
      <c r="F85" s="134"/>
      <c r="G85" s="134"/>
      <c r="H85" s="134"/>
      <c r="I85" s="134"/>
      <c r="J85" s="190"/>
    </row>
    <row r="86" spans="1:10" x14ac:dyDescent="0.2">
      <c r="A86" s="161" t="s">
        <v>288</v>
      </c>
      <c r="B86" s="161"/>
      <c r="C86" s="161"/>
      <c r="D86" s="161"/>
      <c r="E86" s="161"/>
      <c r="F86" s="202"/>
      <c r="G86" s="202"/>
      <c r="H86" s="202"/>
      <c r="I86" s="202"/>
      <c r="J86" s="202"/>
    </row>
    <row r="87" spans="1:10" x14ac:dyDescent="0.2">
      <c r="A87" s="131" t="s">
        <v>300</v>
      </c>
      <c r="B87" s="131"/>
      <c r="C87" s="131"/>
      <c r="D87" s="132" t="s">
        <v>301</v>
      </c>
      <c r="E87" s="291" t="s">
        <v>302</v>
      </c>
      <c r="F87" s="131" t="s">
        <v>300</v>
      </c>
      <c r="G87" s="131"/>
      <c r="H87" s="131"/>
      <c r="I87" s="132" t="s">
        <v>301</v>
      </c>
      <c r="J87" s="132" t="s">
        <v>302</v>
      </c>
    </row>
    <row r="88" spans="1:10" x14ac:dyDescent="0.2">
      <c r="A88" s="134" t="str">
        <f>Establishment!D74</f>
        <v>Auditor General</v>
      </c>
      <c r="B88" s="134"/>
      <c r="C88" s="134"/>
      <c r="D88" s="133" t="str">
        <f>Establishment!E74</f>
        <v>R3</v>
      </c>
      <c r="E88" s="268">
        <f>Establishment!C74</f>
        <v>1</v>
      </c>
      <c r="F88" s="134" t="str">
        <f>Establishment!D78</f>
        <v>Senior Auditor</v>
      </c>
      <c r="G88" s="134"/>
      <c r="H88" s="134"/>
      <c r="I88" s="133" t="str">
        <f>Establishment!E78</f>
        <v>R22-16</v>
      </c>
      <c r="J88" s="133">
        <f>Establishment!C78</f>
        <v>2</v>
      </c>
    </row>
    <row r="89" spans="1:10" ht="22.5" x14ac:dyDescent="0.2">
      <c r="A89" s="134" t="str">
        <f>Establishment!D75</f>
        <v>Deputy Auditor General</v>
      </c>
      <c r="B89" s="134"/>
      <c r="C89" s="134"/>
      <c r="D89" s="133" t="str">
        <f>Establishment!E75</f>
        <v>R17-13/R7</v>
      </c>
      <c r="E89" s="268">
        <f>Establishment!C75</f>
        <v>1</v>
      </c>
      <c r="F89" s="134" t="str">
        <f>Establishment!D79</f>
        <v>Auditor</v>
      </c>
      <c r="G89" s="134"/>
      <c r="H89" s="134"/>
      <c r="I89" s="133" t="str">
        <f>Establishment!E79</f>
        <v>R33-29/28-22</v>
      </c>
      <c r="J89" s="133">
        <f>Establishment!C79</f>
        <v>2</v>
      </c>
    </row>
    <row r="90" spans="1:10" x14ac:dyDescent="0.2">
      <c r="A90" s="134" t="str">
        <f>Establishment!D76</f>
        <v>IT Audit Manager</v>
      </c>
      <c r="B90" s="134"/>
      <c r="C90" s="134"/>
      <c r="D90" s="133" t="str">
        <f>Establishment!E76</f>
        <v>R17-13</v>
      </c>
      <c r="E90" s="268">
        <f>Establishment!C76</f>
        <v>3</v>
      </c>
      <c r="F90" s="134" t="str">
        <f>Establishment!D80</f>
        <v>Clerical Officer  </v>
      </c>
      <c r="G90" s="134"/>
      <c r="H90" s="134"/>
      <c r="I90" s="133" t="str">
        <f>Establishment!E80</f>
        <v>R46-34</v>
      </c>
      <c r="J90" s="133">
        <f>Establishment!C80</f>
        <v>1</v>
      </c>
    </row>
    <row r="91" spans="1:10" ht="15" customHeight="1" x14ac:dyDescent="0.2">
      <c r="A91" s="134" t="str">
        <f>Establishment!D77</f>
        <v>Audit Manager</v>
      </c>
      <c r="B91" s="134"/>
      <c r="C91" s="134"/>
      <c r="D91" s="133" t="str">
        <f>Establishment!E77</f>
        <v>R17-13</v>
      </c>
      <c r="E91" s="268">
        <f>Establishment!C77</f>
        <v>5</v>
      </c>
      <c r="F91" s="134" t="str">
        <f>Establishment!D81</f>
        <v>Office Attendant</v>
      </c>
      <c r="G91" s="134"/>
      <c r="H91" s="134"/>
      <c r="I91" s="133" t="str">
        <f>Establishment!E81</f>
        <v>R51-45</v>
      </c>
      <c r="J91" s="133">
        <f>Establishment!C81</f>
        <v>1</v>
      </c>
    </row>
    <row r="92" spans="1:10" ht="14.25" customHeight="1" x14ac:dyDescent="0.2">
      <c r="A92" s="203" t="s">
        <v>303</v>
      </c>
      <c r="B92" s="203"/>
      <c r="C92" s="203"/>
      <c r="D92" s="203"/>
      <c r="E92" s="203"/>
      <c r="F92" s="203"/>
      <c r="G92" s="203"/>
      <c r="H92" s="203"/>
      <c r="I92" s="203"/>
      <c r="J92" s="204">
        <f>SUM(E88:E91,J88:J91)</f>
        <v>16</v>
      </c>
    </row>
    <row r="93" spans="1:10" x14ac:dyDescent="0.2">
      <c r="A93" s="129"/>
      <c r="B93" s="129"/>
      <c r="C93" s="129"/>
      <c r="D93" s="129"/>
      <c r="E93" s="129"/>
      <c r="F93" s="179"/>
      <c r="G93" s="179"/>
      <c r="H93" s="179"/>
      <c r="I93" s="179"/>
      <c r="J93" s="179"/>
    </row>
    <row r="94" spans="1:10" x14ac:dyDescent="0.2">
      <c r="A94" s="180" t="s">
        <v>304</v>
      </c>
      <c r="B94" s="180"/>
      <c r="C94" s="180"/>
      <c r="D94" s="180"/>
      <c r="E94" s="180"/>
      <c r="F94" s="180"/>
      <c r="G94" s="180"/>
      <c r="H94" s="180"/>
      <c r="I94" s="180"/>
      <c r="J94" s="180"/>
    </row>
    <row r="95" spans="1:10" x14ac:dyDescent="0.2">
      <c r="A95" s="181" t="s">
        <v>305</v>
      </c>
      <c r="B95" s="181"/>
      <c r="C95" s="181"/>
      <c r="D95" s="181"/>
      <c r="E95" s="181"/>
      <c r="F95" s="181"/>
      <c r="G95" s="181"/>
      <c r="H95" s="181"/>
      <c r="I95" s="181"/>
      <c r="J95" s="181"/>
    </row>
    <row r="96" spans="1:10" x14ac:dyDescent="0.2">
      <c r="A96" s="129" t="s">
        <v>547</v>
      </c>
      <c r="B96" s="129"/>
      <c r="C96" s="129"/>
      <c r="D96" s="129"/>
      <c r="E96" s="129"/>
      <c r="F96" s="129"/>
      <c r="G96" s="129"/>
      <c r="H96" s="129"/>
      <c r="I96" s="129"/>
      <c r="J96" s="129"/>
    </row>
    <row r="97" spans="1:10" x14ac:dyDescent="0.2">
      <c r="A97" s="129" t="s">
        <v>548</v>
      </c>
      <c r="B97" s="129"/>
      <c r="C97" s="129"/>
      <c r="D97" s="129"/>
      <c r="E97" s="129"/>
      <c r="F97" s="129"/>
      <c r="G97" s="129"/>
      <c r="H97" s="129"/>
      <c r="I97" s="129"/>
      <c r="J97" s="129"/>
    </row>
    <row r="98" spans="1:10" x14ac:dyDescent="0.2">
      <c r="A98" s="129" t="s">
        <v>549</v>
      </c>
      <c r="B98" s="129"/>
      <c r="C98" s="129"/>
      <c r="D98" s="129"/>
      <c r="E98" s="129"/>
      <c r="F98" s="129"/>
      <c r="G98" s="129"/>
      <c r="H98" s="129"/>
      <c r="I98" s="129"/>
      <c r="J98" s="129"/>
    </row>
    <row r="99" spans="1:10" x14ac:dyDescent="0.2">
      <c r="A99" s="129"/>
      <c r="B99" s="129"/>
      <c r="C99" s="129"/>
      <c r="D99" s="129"/>
      <c r="E99" s="129"/>
      <c r="F99" s="129"/>
      <c r="G99" s="129"/>
      <c r="H99" s="129"/>
      <c r="I99" s="129"/>
      <c r="J99" s="129"/>
    </row>
    <row r="100" spans="1:10" x14ac:dyDescent="0.2">
      <c r="A100" s="183" t="s">
        <v>415</v>
      </c>
      <c r="B100" s="183"/>
      <c r="C100" s="183"/>
      <c r="D100" s="183"/>
      <c r="E100" s="183"/>
      <c r="F100" s="183"/>
      <c r="G100" s="183"/>
      <c r="H100" s="183"/>
      <c r="I100" s="183"/>
      <c r="J100" s="183"/>
    </row>
    <row r="101" spans="1:10" x14ac:dyDescent="0.2">
      <c r="A101" s="129" t="s">
        <v>550</v>
      </c>
      <c r="B101" s="129"/>
      <c r="C101" s="129"/>
      <c r="D101" s="129"/>
      <c r="E101" s="129"/>
      <c r="F101" s="129"/>
      <c r="G101" s="129"/>
      <c r="H101" s="129"/>
      <c r="I101" s="129"/>
      <c r="J101" s="129"/>
    </row>
    <row r="102" spans="1:10" ht="25.5" customHeight="1" x14ac:dyDescent="0.2">
      <c r="A102" s="129" t="s">
        <v>551</v>
      </c>
      <c r="B102" s="129"/>
      <c r="C102" s="129"/>
      <c r="D102" s="129"/>
      <c r="E102" s="129"/>
      <c r="F102" s="129"/>
      <c r="G102" s="129"/>
      <c r="H102" s="129"/>
      <c r="I102" s="129"/>
      <c r="J102" s="129"/>
    </row>
    <row r="103" spans="1:10" x14ac:dyDescent="0.2">
      <c r="A103" s="129" t="s">
        <v>552</v>
      </c>
      <c r="B103" s="129"/>
      <c r="C103" s="129"/>
      <c r="D103" s="129"/>
      <c r="E103" s="129"/>
      <c r="F103" s="129"/>
      <c r="G103" s="129"/>
      <c r="H103" s="129"/>
      <c r="I103" s="129"/>
      <c r="J103" s="129"/>
    </row>
    <row r="104" spans="1:10" x14ac:dyDescent="0.2">
      <c r="A104" s="129"/>
      <c r="B104" s="129"/>
      <c r="C104" s="129"/>
      <c r="D104" s="129"/>
      <c r="E104" s="129"/>
      <c r="F104" s="129"/>
      <c r="G104" s="129"/>
      <c r="H104" s="129"/>
      <c r="I104" s="129"/>
      <c r="J104" s="129"/>
    </row>
    <row r="105" spans="1:10" ht="22.5" x14ac:dyDescent="0.2">
      <c r="A105" s="180" t="s">
        <v>315</v>
      </c>
      <c r="B105" s="180"/>
      <c r="C105" s="180"/>
      <c r="D105" s="180"/>
      <c r="E105" s="180"/>
      <c r="F105" s="184" t="s">
        <v>532</v>
      </c>
      <c r="G105" s="184" t="s">
        <v>533</v>
      </c>
      <c r="H105" s="184" t="s">
        <v>534</v>
      </c>
      <c r="I105" s="184" t="s">
        <v>535</v>
      </c>
      <c r="J105" s="184" t="s">
        <v>536</v>
      </c>
    </row>
    <row r="106" spans="1:10" x14ac:dyDescent="0.2">
      <c r="A106" s="180" t="s">
        <v>316</v>
      </c>
      <c r="B106" s="180"/>
      <c r="C106" s="180"/>
      <c r="D106" s="180"/>
      <c r="E106" s="180"/>
      <c r="F106" s="180"/>
      <c r="G106" s="180"/>
      <c r="H106" s="180"/>
      <c r="I106" s="180"/>
      <c r="J106" s="180"/>
    </row>
    <row r="107" spans="1:10" ht="67.5" x14ac:dyDescent="0.2">
      <c r="A107" s="188" t="s">
        <v>553</v>
      </c>
      <c r="B107" s="188"/>
      <c r="C107" s="188"/>
      <c r="D107" s="188"/>
      <c r="E107" s="188"/>
      <c r="F107" s="273"/>
      <c r="G107" s="286" t="s">
        <v>554</v>
      </c>
      <c r="H107" s="286" t="s">
        <v>554</v>
      </c>
      <c r="I107" s="286" t="s">
        <v>555</v>
      </c>
      <c r="J107" s="286"/>
    </row>
    <row r="108" spans="1:10" ht="180" x14ac:dyDescent="0.2">
      <c r="A108" s="188" t="s">
        <v>556</v>
      </c>
      <c r="B108" s="188"/>
      <c r="C108" s="188"/>
      <c r="D108" s="188"/>
      <c r="E108" s="188"/>
      <c r="F108" s="273"/>
      <c r="G108" s="286" t="s">
        <v>557</v>
      </c>
      <c r="H108" s="286" t="s">
        <v>558</v>
      </c>
      <c r="I108" s="286" t="s">
        <v>559</v>
      </c>
      <c r="J108" s="286" t="s">
        <v>560</v>
      </c>
    </row>
    <row r="109" spans="1:10" ht="45" x14ac:dyDescent="0.2">
      <c r="A109" s="188" t="s">
        <v>561</v>
      </c>
      <c r="B109" s="188"/>
      <c r="C109" s="188"/>
      <c r="D109" s="188"/>
      <c r="E109" s="188"/>
      <c r="F109" s="273"/>
      <c r="G109" s="261" t="s">
        <v>562</v>
      </c>
      <c r="H109" s="261" t="s">
        <v>562</v>
      </c>
      <c r="I109" s="261" t="s">
        <v>563</v>
      </c>
      <c r="J109" s="261" t="s">
        <v>563</v>
      </c>
    </row>
    <row r="110" spans="1:10" x14ac:dyDescent="0.2">
      <c r="A110" s="188" t="s">
        <v>564</v>
      </c>
      <c r="B110" s="188"/>
      <c r="C110" s="188"/>
      <c r="D110" s="188"/>
      <c r="E110" s="188"/>
      <c r="F110" s="273"/>
      <c r="G110" s="190">
        <v>20</v>
      </c>
      <c r="H110" s="190">
        <v>20</v>
      </c>
      <c r="I110" s="190">
        <v>20</v>
      </c>
      <c r="J110" s="190">
        <v>20</v>
      </c>
    </row>
    <row r="111" spans="1:10" x14ac:dyDescent="0.2">
      <c r="A111" s="188"/>
      <c r="B111" s="188"/>
      <c r="C111" s="188"/>
      <c r="D111" s="188"/>
      <c r="E111" s="188"/>
      <c r="F111" s="273"/>
      <c r="G111" s="190"/>
      <c r="H111" s="190"/>
      <c r="I111" s="190"/>
      <c r="J111" s="190"/>
    </row>
    <row r="112" spans="1:10" ht="25.5" customHeight="1" x14ac:dyDescent="0.2">
      <c r="A112" s="180" t="s">
        <v>324</v>
      </c>
      <c r="B112" s="180"/>
      <c r="C112" s="180"/>
      <c r="D112" s="180"/>
      <c r="E112" s="180"/>
      <c r="F112" s="180"/>
      <c r="G112" s="180"/>
      <c r="H112" s="180"/>
      <c r="I112" s="180"/>
      <c r="J112" s="180"/>
    </row>
    <row r="113" spans="1:10" ht="29.25" x14ac:dyDescent="0.2">
      <c r="A113" s="188" t="s">
        <v>565</v>
      </c>
      <c r="B113" s="188"/>
      <c r="C113" s="188"/>
      <c r="D113" s="188"/>
      <c r="E113" s="188"/>
      <c r="F113" s="273"/>
      <c r="G113" s="261"/>
      <c r="H113" s="261" t="s">
        <v>566</v>
      </c>
      <c r="I113" s="261"/>
      <c r="J113" s="261"/>
    </row>
    <row r="114" spans="1:10" x14ac:dyDescent="0.2">
      <c r="A114" s="188" t="s">
        <v>567</v>
      </c>
      <c r="B114" s="188"/>
      <c r="C114" s="188"/>
      <c r="D114" s="188"/>
      <c r="E114" s="188"/>
      <c r="F114" s="273"/>
      <c r="G114" s="206" t="s">
        <v>568</v>
      </c>
      <c r="H114" s="206">
        <v>0.6</v>
      </c>
      <c r="I114" s="206">
        <v>0.75</v>
      </c>
      <c r="J114" s="206">
        <v>0.8</v>
      </c>
    </row>
    <row r="115" spans="1:10" x14ac:dyDescent="0.2">
      <c r="A115" s="188" t="s">
        <v>569</v>
      </c>
      <c r="B115" s="188"/>
      <c r="C115" s="188"/>
      <c r="D115" s="188"/>
      <c r="E115" s="188"/>
      <c r="F115" s="273"/>
      <c r="G115" s="206" t="s">
        <v>568</v>
      </c>
      <c r="H115" s="206" t="s">
        <v>570</v>
      </c>
      <c r="I115" s="206" t="s">
        <v>571</v>
      </c>
      <c r="J115" s="206" t="s">
        <v>572</v>
      </c>
    </row>
    <row r="116" spans="1:10" ht="15" customHeight="1" x14ac:dyDescent="0.2">
      <c r="A116" s="129"/>
      <c r="B116" s="129"/>
      <c r="C116" s="129"/>
      <c r="D116" s="129"/>
      <c r="E116" s="129"/>
      <c r="F116" s="129"/>
      <c r="G116" s="129"/>
      <c r="H116" s="129"/>
      <c r="I116" s="129"/>
      <c r="J116" s="129"/>
    </row>
    <row r="118" spans="1:10" x14ac:dyDescent="0.2">
      <c r="A118" s="222"/>
      <c r="B118" s="222"/>
      <c r="C118" s="222"/>
      <c r="D118" s="222"/>
      <c r="E118" s="274" t="s">
        <v>382</v>
      </c>
      <c r="F118" s="229"/>
      <c r="G118" s="222"/>
      <c r="H118" s="222"/>
      <c r="I118" s="222"/>
      <c r="J118" s="223" t="s">
        <v>383</v>
      </c>
    </row>
    <row r="119" spans="1:10" ht="34.5" thickBot="1" x14ac:dyDescent="0.25">
      <c r="A119" s="224"/>
      <c r="B119" s="224" t="s">
        <v>188</v>
      </c>
      <c r="C119" s="225"/>
      <c r="D119" s="226"/>
      <c r="E119" s="184" t="str">
        <f t="shared" ref="E119:J119" si="21">E19</f>
        <v>Actuals           2014-2015</v>
      </c>
      <c r="F119" s="184" t="str">
        <f t="shared" si="21"/>
        <v>Approved Estimates          2015-2016</v>
      </c>
      <c r="G119" s="184" t="str">
        <f t="shared" si="21"/>
        <v>Revised Estimates                 2015-2016</v>
      </c>
      <c r="H119" s="184" t="str">
        <f t="shared" si="21"/>
        <v>Budget Estimates      2016-2017</v>
      </c>
      <c r="I119" s="184" t="str">
        <f t="shared" si="21"/>
        <v>Forward Estimates     2017-2018</v>
      </c>
      <c r="J119" s="184" t="str">
        <f t="shared" si="21"/>
        <v>Forward Estimates     2018-2019</v>
      </c>
    </row>
    <row r="120" spans="1:10" x14ac:dyDescent="0.2">
      <c r="A120" s="229" t="s">
        <v>7</v>
      </c>
      <c r="B120" s="229"/>
      <c r="C120" s="229"/>
      <c r="D120" s="229"/>
      <c r="E120" s="222"/>
      <c r="F120" s="230"/>
      <c r="G120" s="230"/>
      <c r="H120" s="230"/>
      <c r="I120" s="222"/>
      <c r="J120" s="222"/>
    </row>
    <row r="121" spans="1:10" x14ac:dyDescent="0.2">
      <c r="A121" s="233"/>
      <c r="B121" s="233" t="s">
        <v>102</v>
      </c>
      <c r="C121" s="233"/>
      <c r="D121" s="233"/>
      <c r="E121" s="234">
        <f t="shared" ref="E121:J121" si="22">E58</f>
        <v>0</v>
      </c>
      <c r="F121" s="234">
        <f t="shared" si="22"/>
        <v>0</v>
      </c>
      <c r="G121" s="234">
        <f t="shared" si="22"/>
        <v>0</v>
      </c>
      <c r="H121" s="234">
        <f t="shared" si="22"/>
        <v>732500</v>
      </c>
      <c r="I121" s="234">
        <f t="shared" si="22"/>
        <v>778900</v>
      </c>
      <c r="J121" s="234">
        <f t="shared" si="22"/>
        <v>788100</v>
      </c>
    </row>
    <row r="122" spans="1:10" ht="15" thickBot="1" x14ac:dyDescent="0.25">
      <c r="A122" s="222"/>
      <c r="B122" s="222"/>
      <c r="C122" s="229" t="s">
        <v>385</v>
      </c>
      <c r="D122" s="235"/>
      <c r="E122" s="236">
        <f t="shared" ref="E122:J122" si="23">SUM(E121:E121)</f>
        <v>0</v>
      </c>
      <c r="F122" s="236">
        <f t="shared" si="23"/>
        <v>0</v>
      </c>
      <c r="G122" s="236">
        <f t="shared" si="23"/>
        <v>0</v>
      </c>
      <c r="H122" s="236">
        <f t="shared" si="23"/>
        <v>732500</v>
      </c>
      <c r="I122" s="236">
        <f t="shared" si="23"/>
        <v>778900</v>
      </c>
      <c r="J122" s="236">
        <f t="shared" si="23"/>
        <v>788100</v>
      </c>
    </row>
    <row r="123" spans="1:10" x14ac:dyDescent="0.2">
      <c r="A123" s="237" t="s">
        <v>196</v>
      </c>
      <c r="B123" s="237"/>
      <c r="C123" s="233"/>
      <c r="D123" s="238"/>
      <c r="E123" s="242"/>
      <c r="F123" s="242"/>
      <c r="G123" s="242"/>
      <c r="H123" s="227"/>
      <c r="I123" s="227"/>
      <c r="J123" s="227"/>
    </row>
    <row r="124" spans="1:10" x14ac:dyDescent="0.2">
      <c r="A124" s="222"/>
      <c r="B124" s="222" t="s">
        <v>102</v>
      </c>
      <c r="C124" s="222"/>
      <c r="D124" s="238"/>
      <c r="E124" s="234">
        <f t="shared" ref="E124:J124" si="24">E59</f>
        <v>0</v>
      </c>
      <c r="F124" s="234">
        <f t="shared" si="24"/>
        <v>0</v>
      </c>
      <c r="G124" s="234">
        <f t="shared" si="24"/>
        <v>0</v>
      </c>
      <c r="H124" s="234">
        <f t="shared" si="24"/>
        <v>11000</v>
      </c>
      <c r="I124" s="234">
        <f t="shared" si="24"/>
        <v>11000</v>
      </c>
      <c r="J124" s="234">
        <f t="shared" si="24"/>
        <v>11000</v>
      </c>
    </row>
    <row r="125" spans="1:10" ht="15" thickBot="1" x14ac:dyDescent="0.25">
      <c r="A125" s="229"/>
      <c r="B125" s="229"/>
      <c r="C125" s="229" t="s">
        <v>386</v>
      </c>
      <c r="D125" s="239"/>
      <c r="E125" s="236">
        <f t="shared" ref="E125:J125" si="25">SUM(E124:E124)</f>
        <v>0</v>
      </c>
      <c r="F125" s="236">
        <f t="shared" si="25"/>
        <v>0</v>
      </c>
      <c r="G125" s="236">
        <f t="shared" si="25"/>
        <v>0</v>
      </c>
      <c r="H125" s="236">
        <f t="shared" si="25"/>
        <v>11000</v>
      </c>
      <c r="I125" s="236">
        <f t="shared" si="25"/>
        <v>11000</v>
      </c>
      <c r="J125" s="236">
        <f t="shared" si="25"/>
        <v>11000</v>
      </c>
    </row>
    <row r="126" spans="1:10" x14ac:dyDescent="0.2">
      <c r="A126" s="229" t="s">
        <v>387</v>
      </c>
      <c r="B126" s="222"/>
      <c r="C126" s="222"/>
      <c r="D126" s="240"/>
      <c r="E126" s="241"/>
      <c r="F126" s="241"/>
      <c r="G126" s="241"/>
      <c r="H126" s="241"/>
      <c r="I126" s="241"/>
      <c r="J126" s="241"/>
    </row>
    <row r="127" spans="1:10" x14ac:dyDescent="0.2">
      <c r="A127" s="222"/>
      <c r="B127" s="222" t="s">
        <v>102</v>
      </c>
      <c r="C127" s="222"/>
      <c r="D127" s="238"/>
      <c r="E127" s="234">
        <f t="shared" ref="E127:J127" si="26">E60</f>
        <v>0</v>
      </c>
      <c r="F127" s="234">
        <f t="shared" si="26"/>
        <v>0</v>
      </c>
      <c r="G127" s="234">
        <f t="shared" si="26"/>
        <v>0</v>
      </c>
      <c r="H127" s="234">
        <f t="shared" si="26"/>
        <v>202000</v>
      </c>
      <c r="I127" s="234">
        <f t="shared" si="26"/>
        <v>202000</v>
      </c>
      <c r="J127" s="234">
        <f t="shared" si="26"/>
        <v>202000</v>
      </c>
    </row>
    <row r="128" spans="1:10" x14ac:dyDescent="0.2">
      <c r="A128" s="222"/>
      <c r="B128" s="222"/>
      <c r="C128" s="229" t="s">
        <v>388</v>
      </c>
      <c r="D128" s="240"/>
      <c r="E128" s="236">
        <f t="shared" ref="E128:J128" si="27">SUM(E127:E127)</f>
        <v>0</v>
      </c>
      <c r="F128" s="236">
        <f t="shared" si="27"/>
        <v>0</v>
      </c>
      <c r="G128" s="236">
        <f t="shared" si="27"/>
        <v>0</v>
      </c>
      <c r="H128" s="236">
        <f t="shared" si="27"/>
        <v>202000</v>
      </c>
      <c r="I128" s="236">
        <f t="shared" si="27"/>
        <v>202000</v>
      </c>
      <c r="J128" s="236">
        <f t="shared" si="27"/>
        <v>202000</v>
      </c>
    </row>
    <row r="129" spans="1:10" x14ac:dyDescent="0.2">
      <c r="A129" s="229" t="s">
        <v>198</v>
      </c>
      <c r="B129" s="222"/>
      <c r="C129" s="222"/>
      <c r="D129" s="240"/>
      <c r="E129" s="230"/>
      <c r="F129" s="230"/>
      <c r="G129" s="230"/>
      <c r="H129" s="230"/>
      <c r="I129" s="230"/>
      <c r="J129" s="230"/>
    </row>
    <row r="130" spans="1:10" x14ac:dyDescent="0.2">
      <c r="A130" s="222"/>
      <c r="B130" s="222" t="s">
        <v>102</v>
      </c>
      <c r="C130" s="222"/>
      <c r="D130" s="240"/>
      <c r="E130" s="234">
        <f t="shared" ref="E130:J130" si="28">E61</f>
        <v>0</v>
      </c>
      <c r="F130" s="234">
        <f t="shared" si="28"/>
        <v>0</v>
      </c>
      <c r="G130" s="234">
        <f t="shared" si="28"/>
        <v>0</v>
      </c>
      <c r="H130" s="234">
        <f t="shared" si="28"/>
        <v>56500</v>
      </c>
      <c r="I130" s="234">
        <f t="shared" si="28"/>
        <v>58000</v>
      </c>
      <c r="J130" s="234">
        <f t="shared" si="28"/>
        <v>59600</v>
      </c>
    </row>
    <row r="131" spans="1:10" ht="15" thickBot="1" x14ac:dyDescent="0.25">
      <c r="A131" s="222"/>
      <c r="B131" s="222"/>
      <c r="C131" s="229" t="s">
        <v>389</v>
      </c>
      <c r="D131" s="240"/>
      <c r="E131" s="236">
        <f t="shared" ref="E131:J131" si="29">SUM(E130:E130)</f>
        <v>0</v>
      </c>
      <c r="F131" s="236">
        <f t="shared" si="29"/>
        <v>0</v>
      </c>
      <c r="G131" s="236">
        <f t="shared" si="29"/>
        <v>0</v>
      </c>
      <c r="H131" s="236">
        <f t="shared" si="29"/>
        <v>56500</v>
      </c>
      <c r="I131" s="236">
        <f t="shared" si="29"/>
        <v>58000</v>
      </c>
      <c r="J131" s="236">
        <f t="shared" si="29"/>
        <v>59600</v>
      </c>
    </row>
    <row r="132" spans="1:10" x14ac:dyDescent="0.2">
      <c r="A132" s="229" t="s">
        <v>296</v>
      </c>
      <c r="B132" s="222"/>
      <c r="C132" s="222"/>
      <c r="D132" s="240"/>
      <c r="E132" s="241"/>
      <c r="F132" s="241"/>
      <c r="G132" s="241"/>
      <c r="H132" s="241"/>
      <c r="I132" s="241"/>
      <c r="J132" s="241"/>
    </row>
    <row r="133" spans="1:10" x14ac:dyDescent="0.2">
      <c r="A133" s="233"/>
      <c r="B133" s="233" t="s">
        <v>102</v>
      </c>
      <c r="C133" s="222"/>
      <c r="D133" s="235"/>
      <c r="E133" s="234">
        <f t="shared" ref="E133:J133" si="30">E76</f>
        <v>0</v>
      </c>
      <c r="F133" s="234">
        <f t="shared" si="30"/>
        <v>0</v>
      </c>
      <c r="G133" s="234">
        <f t="shared" si="30"/>
        <v>0</v>
      </c>
      <c r="H133" s="234">
        <f t="shared" si="30"/>
        <v>256000</v>
      </c>
      <c r="I133" s="234">
        <f t="shared" si="30"/>
        <v>256000</v>
      </c>
      <c r="J133" s="234">
        <f t="shared" si="30"/>
        <v>256000</v>
      </c>
    </row>
    <row r="134" spans="1:10" ht="15" thickBot="1" x14ac:dyDescent="0.25">
      <c r="A134" s="222"/>
      <c r="B134" s="222"/>
      <c r="C134" s="229" t="s">
        <v>390</v>
      </c>
      <c r="D134" s="240"/>
      <c r="E134" s="236">
        <f t="shared" ref="E134:J134" si="31">SUM(E133:E133)</f>
        <v>0</v>
      </c>
      <c r="F134" s="236">
        <f t="shared" si="31"/>
        <v>0</v>
      </c>
      <c r="G134" s="236">
        <f t="shared" si="31"/>
        <v>0</v>
      </c>
      <c r="H134" s="236">
        <f t="shared" si="31"/>
        <v>256000</v>
      </c>
      <c r="I134" s="236">
        <f t="shared" si="31"/>
        <v>256000</v>
      </c>
      <c r="J134" s="236">
        <f t="shared" si="31"/>
        <v>256000</v>
      </c>
    </row>
    <row r="135" spans="1:10" x14ac:dyDescent="0.2">
      <c r="A135" s="229" t="s">
        <v>15</v>
      </c>
      <c r="B135" s="222"/>
      <c r="C135" s="222"/>
      <c r="D135" s="240"/>
      <c r="E135" s="241"/>
      <c r="F135" s="241"/>
      <c r="G135" s="241"/>
      <c r="H135" s="241"/>
      <c r="I135" s="241"/>
      <c r="J135" s="241"/>
    </row>
    <row r="136" spans="1:10" x14ac:dyDescent="0.2">
      <c r="A136" s="233"/>
      <c r="B136" s="233" t="s">
        <v>102</v>
      </c>
      <c r="C136" s="233"/>
      <c r="D136" s="222"/>
      <c r="E136" s="234">
        <f t="shared" ref="E136:J136" si="32">E84</f>
        <v>0</v>
      </c>
      <c r="F136" s="234">
        <f t="shared" si="32"/>
        <v>0</v>
      </c>
      <c r="G136" s="234">
        <f t="shared" si="32"/>
        <v>0</v>
      </c>
      <c r="H136" s="234">
        <f t="shared" si="32"/>
        <v>0</v>
      </c>
      <c r="I136" s="234">
        <f t="shared" si="32"/>
        <v>0</v>
      </c>
      <c r="J136" s="234">
        <f t="shared" si="32"/>
        <v>0</v>
      </c>
    </row>
    <row r="137" spans="1:10" ht="15" thickBot="1" x14ac:dyDescent="0.25">
      <c r="A137" s="243"/>
      <c r="B137" s="243" t="s">
        <v>69</v>
      </c>
      <c r="C137" s="240"/>
      <c r="D137" s="222"/>
      <c r="E137" s="236">
        <f t="shared" ref="E137:J137" si="33">SUM(E136:E136)</f>
        <v>0</v>
      </c>
      <c r="F137" s="236">
        <f t="shared" si="33"/>
        <v>0</v>
      </c>
      <c r="G137" s="236">
        <f t="shared" si="33"/>
        <v>0</v>
      </c>
      <c r="H137" s="236">
        <f t="shared" si="33"/>
        <v>0</v>
      </c>
      <c r="I137" s="236">
        <f t="shared" si="33"/>
        <v>0</v>
      </c>
      <c r="J137" s="236">
        <f t="shared" si="33"/>
        <v>0</v>
      </c>
    </row>
    <row r="138" spans="1:10" x14ac:dyDescent="0.2">
      <c r="A138" s="222"/>
      <c r="B138" s="222"/>
      <c r="C138" s="222"/>
      <c r="D138" s="222"/>
      <c r="E138" s="242"/>
      <c r="F138" s="242"/>
      <c r="G138" s="242"/>
      <c r="H138" s="227"/>
      <c r="I138" s="227"/>
      <c r="J138" s="227"/>
    </row>
    <row r="139" spans="1:10" x14ac:dyDescent="0.2">
      <c r="A139" s="222"/>
      <c r="B139" s="222"/>
      <c r="C139" s="222"/>
      <c r="D139" s="222"/>
      <c r="E139" s="240"/>
      <c r="F139" s="274"/>
      <c r="G139" s="240"/>
      <c r="H139" s="240"/>
      <c r="I139" s="245"/>
      <c r="J139" s="235"/>
    </row>
    <row r="140" spans="1:10" ht="15" thickBot="1" x14ac:dyDescent="0.25">
      <c r="A140" s="222"/>
      <c r="B140" s="222"/>
      <c r="C140" s="222"/>
      <c r="D140" s="222"/>
      <c r="E140" s="240"/>
      <c r="F140" s="276" t="s">
        <v>391</v>
      </c>
      <c r="G140" s="240"/>
      <c r="H140" s="240"/>
      <c r="I140" s="245"/>
      <c r="J140" s="245"/>
    </row>
    <row r="141" spans="1:10" ht="15" thickTop="1" x14ac:dyDescent="0.2">
      <c r="A141" s="246"/>
      <c r="B141" s="246"/>
      <c r="C141" s="246"/>
      <c r="D141" s="246"/>
      <c r="E141" s="246"/>
      <c r="F141" s="277"/>
      <c r="G141" s="246"/>
      <c r="H141" s="246"/>
      <c r="I141" s="246"/>
      <c r="J141" s="246"/>
    </row>
    <row r="142" spans="1:10" x14ac:dyDescent="0.2">
      <c r="A142" s="247"/>
      <c r="B142" s="247">
        <v>210</v>
      </c>
      <c r="C142" s="222" t="s">
        <v>7</v>
      </c>
      <c r="D142" s="222"/>
      <c r="E142" s="231">
        <f t="shared" ref="E142:J157" si="34">SUMIF($A$40:$A$717,$B142,E$40:E$717)</f>
        <v>0</v>
      </c>
      <c r="F142" s="231">
        <f t="shared" si="34"/>
        <v>0</v>
      </c>
      <c r="G142" s="231">
        <f t="shared" si="34"/>
        <v>0</v>
      </c>
      <c r="H142" s="231">
        <f t="shared" si="34"/>
        <v>732500</v>
      </c>
      <c r="I142" s="231">
        <f t="shared" si="34"/>
        <v>778900</v>
      </c>
      <c r="J142" s="231">
        <f t="shared" si="34"/>
        <v>788100</v>
      </c>
    </row>
    <row r="143" spans="1:10" x14ac:dyDescent="0.2">
      <c r="A143" s="247"/>
      <c r="B143" s="247">
        <v>212</v>
      </c>
      <c r="C143" s="222" t="s">
        <v>9</v>
      </c>
      <c r="D143" s="222"/>
      <c r="E143" s="231">
        <f t="shared" si="34"/>
        <v>0</v>
      </c>
      <c r="F143" s="231">
        <f t="shared" si="34"/>
        <v>0</v>
      </c>
      <c r="G143" s="231">
        <f t="shared" si="34"/>
        <v>0</v>
      </c>
      <c r="H143" s="231">
        <f t="shared" si="34"/>
        <v>11000</v>
      </c>
      <c r="I143" s="231">
        <f t="shared" si="34"/>
        <v>11000</v>
      </c>
      <c r="J143" s="231">
        <f t="shared" si="34"/>
        <v>11000</v>
      </c>
    </row>
    <row r="144" spans="1:10" x14ac:dyDescent="0.2">
      <c r="A144" s="247"/>
      <c r="B144" s="247">
        <v>213</v>
      </c>
      <c r="C144" s="222" t="s">
        <v>201</v>
      </c>
      <c r="D144" s="222"/>
      <c r="E144" s="231">
        <f t="shared" si="34"/>
        <v>0</v>
      </c>
      <c r="F144" s="231">
        <f t="shared" si="34"/>
        <v>0</v>
      </c>
      <c r="G144" s="231">
        <f t="shared" si="34"/>
        <v>0</v>
      </c>
      <c r="H144" s="231">
        <f t="shared" si="34"/>
        <v>0</v>
      </c>
      <c r="I144" s="231">
        <f t="shared" si="34"/>
        <v>0</v>
      </c>
      <c r="J144" s="231">
        <f t="shared" si="34"/>
        <v>0</v>
      </c>
    </row>
    <row r="145" spans="1:10" x14ac:dyDescent="0.2">
      <c r="A145" s="247"/>
      <c r="B145" s="247">
        <v>216</v>
      </c>
      <c r="C145" s="222" t="s">
        <v>10</v>
      </c>
      <c r="D145" s="222"/>
      <c r="E145" s="231">
        <f t="shared" si="34"/>
        <v>0</v>
      </c>
      <c r="F145" s="231">
        <f t="shared" si="34"/>
        <v>0</v>
      </c>
      <c r="G145" s="231">
        <f t="shared" si="34"/>
        <v>0</v>
      </c>
      <c r="H145" s="231">
        <f t="shared" si="34"/>
        <v>202000</v>
      </c>
      <c r="I145" s="231">
        <f t="shared" si="34"/>
        <v>202000</v>
      </c>
      <c r="J145" s="231">
        <f t="shared" si="34"/>
        <v>202000</v>
      </c>
    </row>
    <row r="146" spans="1:10" x14ac:dyDescent="0.2">
      <c r="A146" s="247"/>
      <c r="B146" s="247">
        <v>218</v>
      </c>
      <c r="C146" s="222" t="s">
        <v>202</v>
      </c>
      <c r="D146" s="222"/>
      <c r="E146" s="231">
        <f t="shared" si="34"/>
        <v>0</v>
      </c>
      <c r="F146" s="231">
        <f t="shared" si="34"/>
        <v>0</v>
      </c>
      <c r="G146" s="231">
        <f t="shared" si="34"/>
        <v>0</v>
      </c>
      <c r="H146" s="231">
        <f t="shared" si="34"/>
        <v>56500</v>
      </c>
      <c r="I146" s="231">
        <f t="shared" si="34"/>
        <v>58000</v>
      </c>
      <c r="J146" s="231">
        <f t="shared" si="34"/>
        <v>59600</v>
      </c>
    </row>
    <row r="147" spans="1:10" x14ac:dyDescent="0.2">
      <c r="A147" s="247"/>
      <c r="B147" s="247">
        <v>219</v>
      </c>
      <c r="C147" s="222" t="s">
        <v>203</v>
      </c>
      <c r="D147" s="222"/>
      <c r="E147" s="231">
        <f t="shared" si="34"/>
        <v>0</v>
      </c>
      <c r="F147" s="231">
        <f t="shared" si="34"/>
        <v>0</v>
      </c>
      <c r="G147" s="231">
        <f t="shared" si="34"/>
        <v>0</v>
      </c>
      <c r="H147" s="231">
        <f t="shared" si="34"/>
        <v>0</v>
      </c>
      <c r="I147" s="231">
        <f t="shared" si="34"/>
        <v>0</v>
      </c>
      <c r="J147" s="231">
        <f t="shared" si="34"/>
        <v>0</v>
      </c>
    </row>
    <row r="148" spans="1:10" x14ac:dyDescent="0.2">
      <c r="A148" s="247"/>
      <c r="B148" s="247">
        <v>220</v>
      </c>
      <c r="C148" s="222" t="s">
        <v>204</v>
      </c>
      <c r="D148" s="222"/>
      <c r="E148" s="231">
        <f t="shared" si="34"/>
        <v>0</v>
      </c>
      <c r="F148" s="231">
        <f t="shared" si="34"/>
        <v>0</v>
      </c>
      <c r="G148" s="231">
        <f t="shared" si="34"/>
        <v>0</v>
      </c>
      <c r="H148" s="231">
        <f t="shared" si="34"/>
        <v>6000</v>
      </c>
      <c r="I148" s="231">
        <f t="shared" si="34"/>
        <v>6000</v>
      </c>
      <c r="J148" s="231">
        <f t="shared" si="34"/>
        <v>6000</v>
      </c>
    </row>
    <row r="149" spans="1:10" x14ac:dyDescent="0.2">
      <c r="A149" s="247"/>
      <c r="B149" s="247">
        <v>222</v>
      </c>
      <c r="C149" s="222" t="s">
        <v>205</v>
      </c>
      <c r="D149" s="222"/>
      <c r="E149" s="231">
        <f t="shared" si="34"/>
        <v>0</v>
      </c>
      <c r="F149" s="231">
        <f t="shared" si="34"/>
        <v>0</v>
      </c>
      <c r="G149" s="231">
        <f t="shared" si="34"/>
        <v>0</v>
      </c>
      <c r="H149" s="231">
        <f t="shared" si="34"/>
        <v>12000</v>
      </c>
      <c r="I149" s="231">
        <f t="shared" si="34"/>
        <v>12000</v>
      </c>
      <c r="J149" s="231">
        <f t="shared" si="34"/>
        <v>12000</v>
      </c>
    </row>
    <row r="150" spans="1:10" x14ac:dyDescent="0.2">
      <c r="A150" s="247"/>
      <c r="B150" s="247">
        <v>224</v>
      </c>
      <c r="C150" s="222" t="s">
        <v>206</v>
      </c>
      <c r="D150" s="222"/>
      <c r="E150" s="231">
        <f t="shared" si="34"/>
        <v>0</v>
      </c>
      <c r="F150" s="231">
        <f t="shared" si="34"/>
        <v>0</v>
      </c>
      <c r="G150" s="231">
        <f t="shared" si="34"/>
        <v>0</v>
      </c>
      <c r="H150" s="231">
        <f t="shared" si="34"/>
        <v>30000</v>
      </c>
      <c r="I150" s="231">
        <f t="shared" si="34"/>
        <v>30000</v>
      </c>
      <c r="J150" s="231">
        <f t="shared" si="34"/>
        <v>30000</v>
      </c>
    </row>
    <row r="151" spans="1:10" x14ac:dyDescent="0.2">
      <c r="A151" s="247"/>
      <c r="B151" s="247">
        <v>226</v>
      </c>
      <c r="C151" s="222" t="s">
        <v>207</v>
      </c>
      <c r="D151" s="222"/>
      <c r="E151" s="231">
        <f t="shared" si="34"/>
        <v>0</v>
      </c>
      <c r="F151" s="231">
        <f t="shared" si="34"/>
        <v>0</v>
      </c>
      <c r="G151" s="231">
        <f t="shared" si="34"/>
        <v>0</v>
      </c>
      <c r="H151" s="231">
        <f t="shared" si="34"/>
        <v>7500</v>
      </c>
      <c r="I151" s="231">
        <f t="shared" si="34"/>
        <v>7500</v>
      </c>
      <c r="J151" s="231">
        <f t="shared" si="34"/>
        <v>7500</v>
      </c>
    </row>
    <row r="152" spans="1:10" x14ac:dyDescent="0.2">
      <c r="A152" s="247"/>
      <c r="B152" s="247">
        <v>228</v>
      </c>
      <c r="C152" s="222" t="s">
        <v>208</v>
      </c>
      <c r="D152" s="222"/>
      <c r="E152" s="231">
        <f t="shared" si="34"/>
        <v>0</v>
      </c>
      <c r="F152" s="231">
        <f t="shared" si="34"/>
        <v>0</v>
      </c>
      <c r="G152" s="231">
        <f t="shared" si="34"/>
        <v>0</v>
      </c>
      <c r="H152" s="231">
        <f t="shared" si="34"/>
        <v>4000</v>
      </c>
      <c r="I152" s="231">
        <f t="shared" si="34"/>
        <v>4000</v>
      </c>
      <c r="J152" s="231">
        <f t="shared" si="34"/>
        <v>4000</v>
      </c>
    </row>
    <row r="153" spans="1:10" x14ac:dyDescent="0.2">
      <c r="A153" s="247"/>
      <c r="B153" s="247">
        <v>229</v>
      </c>
      <c r="C153" s="222" t="s">
        <v>209</v>
      </c>
      <c r="D153" s="222"/>
      <c r="E153" s="231">
        <f t="shared" si="34"/>
        <v>0</v>
      </c>
      <c r="F153" s="231">
        <f t="shared" si="34"/>
        <v>0</v>
      </c>
      <c r="G153" s="231">
        <f t="shared" si="34"/>
        <v>0</v>
      </c>
      <c r="H153" s="231">
        <f t="shared" si="34"/>
        <v>0</v>
      </c>
      <c r="I153" s="231">
        <f t="shared" si="34"/>
        <v>0</v>
      </c>
      <c r="J153" s="231">
        <f t="shared" si="34"/>
        <v>0</v>
      </c>
    </row>
    <row r="154" spans="1:10" x14ac:dyDescent="0.2">
      <c r="A154" s="247"/>
      <c r="B154" s="247">
        <v>230</v>
      </c>
      <c r="C154" s="222" t="s">
        <v>210</v>
      </c>
      <c r="D154" s="222"/>
      <c r="E154" s="231">
        <f t="shared" si="34"/>
        <v>0</v>
      </c>
      <c r="F154" s="231">
        <f t="shared" si="34"/>
        <v>0</v>
      </c>
      <c r="G154" s="231">
        <f t="shared" si="34"/>
        <v>0</v>
      </c>
      <c r="H154" s="231">
        <f t="shared" si="34"/>
        <v>0</v>
      </c>
      <c r="I154" s="231">
        <f t="shared" si="34"/>
        <v>0</v>
      </c>
      <c r="J154" s="231">
        <f t="shared" si="34"/>
        <v>0</v>
      </c>
    </row>
    <row r="155" spans="1:10" x14ac:dyDescent="0.2">
      <c r="A155" s="247"/>
      <c r="B155" s="247">
        <v>232</v>
      </c>
      <c r="C155" s="222" t="s">
        <v>211</v>
      </c>
      <c r="D155" s="222"/>
      <c r="E155" s="231">
        <f t="shared" si="34"/>
        <v>0</v>
      </c>
      <c r="F155" s="231">
        <f t="shared" si="34"/>
        <v>0</v>
      </c>
      <c r="G155" s="231">
        <f t="shared" si="34"/>
        <v>0</v>
      </c>
      <c r="H155" s="231">
        <f t="shared" si="34"/>
        <v>4700</v>
      </c>
      <c r="I155" s="231">
        <f t="shared" si="34"/>
        <v>4700</v>
      </c>
      <c r="J155" s="231">
        <f t="shared" si="34"/>
        <v>4700</v>
      </c>
    </row>
    <row r="156" spans="1:10" x14ac:dyDescent="0.2">
      <c r="A156" s="247"/>
      <c r="B156" s="247">
        <v>234</v>
      </c>
      <c r="C156" s="222" t="s">
        <v>212</v>
      </c>
      <c r="D156" s="222"/>
      <c r="E156" s="231">
        <f t="shared" si="34"/>
        <v>0</v>
      </c>
      <c r="F156" s="231">
        <f t="shared" si="34"/>
        <v>0</v>
      </c>
      <c r="G156" s="231">
        <f t="shared" si="34"/>
        <v>0</v>
      </c>
      <c r="H156" s="231">
        <f t="shared" si="34"/>
        <v>78000</v>
      </c>
      <c r="I156" s="231">
        <f t="shared" si="34"/>
        <v>78000</v>
      </c>
      <c r="J156" s="231">
        <f t="shared" si="34"/>
        <v>78000</v>
      </c>
    </row>
    <row r="157" spans="1:10" x14ac:dyDescent="0.2">
      <c r="A157" s="247"/>
      <c r="B157" s="247">
        <v>236</v>
      </c>
      <c r="C157" s="222" t="s">
        <v>213</v>
      </c>
      <c r="D157" s="222"/>
      <c r="E157" s="231">
        <f t="shared" si="34"/>
        <v>0</v>
      </c>
      <c r="F157" s="231">
        <f t="shared" si="34"/>
        <v>0</v>
      </c>
      <c r="G157" s="231">
        <f t="shared" si="34"/>
        <v>0</v>
      </c>
      <c r="H157" s="231">
        <f t="shared" si="34"/>
        <v>80000</v>
      </c>
      <c r="I157" s="231">
        <f t="shared" si="34"/>
        <v>80000</v>
      </c>
      <c r="J157" s="231">
        <f t="shared" si="34"/>
        <v>80000</v>
      </c>
    </row>
    <row r="158" spans="1:10" x14ac:dyDescent="0.2">
      <c r="A158" s="247"/>
      <c r="B158" s="247">
        <v>238</v>
      </c>
      <c r="C158" s="222" t="s">
        <v>214</v>
      </c>
      <c r="D158" s="222"/>
      <c r="E158" s="231">
        <f t="shared" ref="E158:J173" si="35">SUMIF($A$40:$A$717,$B158,E$40:E$717)</f>
        <v>0</v>
      </c>
      <c r="F158" s="231">
        <f t="shared" si="35"/>
        <v>0</v>
      </c>
      <c r="G158" s="231">
        <f t="shared" si="35"/>
        <v>0</v>
      </c>
      <c r="H158" s="231">
        <f t="shared" si="35"/>
        <v>0</v>
      </c>
      <c r="I158" s="231">
        <f t="shared" si="35"/>
        <v>0</v>
      </c>
      <c r="J158" s="231">
        <f t="shared" si="35"/>
        <v>0</v>
      </c>
    </row>
    <row r="159" spans="1:10" x14ac:dyDescent="0.2">
      <c r="A159" s="247"/>
      <c r="B159" s="247">
        <v>240</v>
      </c>
      <c r="C159" s="222" t="s">
        <v>215</v>
      </c>
      <c r="D159" s="222"/>
      <c r="E159" s="231">
        <f t="shared" si="35"/>
        <v>0</v>
      </c>
      <c r="F159" s="231">
        <f t="shared" si="35"/>
        <v>0</v>
      </c>
      <c r="G159" s="231">
        <f t="shared" si="35"/>
        <v>0</v>
      </c>
      <c r="H159" s="231">
        <f t="shared" si="35"/>
        <v>0</v>
      </c>
      <c r="I159" s="231">
        <f t="shared" si="35"/>
        <v>0</v>
      </c>
      <c r="J159" s="231">
        <f t="shared" si="35"/>
        <v>0</v>
      </c>
    </row>
    <row r="160" spans="1:10" x14ac:dyDescent="0.2">
      <c r="A160" s="247"/>
      <c r="B160" s="247">
        <v>242</v>
      </c>
      <c r="C160" s="222" t="s">
        <v>216</v>
      </c>
      <c r="D160" s="222"/>
      <c r="E160" s="231">
        <f t="shared" si="35"/>
        <v>0</v>
      </c>
      <c r="F160" s="231">
        <f t="shared" si="35"/>
        <v>0</v>
      </c>
      <c r="G160" s="231">
        <f t="shared" si="35"/>
        <v>0</v>
      </c>
      <c r="H160" s="231">
        <f t="shared" si="35"/>
        <v>20000</v>
      </c>
      <c r="I160" s="231">
        <f t="shared" si="35"/>
        <v>20000</v>
      </c>
      <c r="J160" s="231">
        <f t="shared" si="35"/>
        <v>20000</v>
      </c>
    </row>
    <row r="161" spans="1:10" x14ac:dyDescent="0.2">
      <c r="A161" s="247"/>
      <c r="B161" s="247">
        <v>244</v>
      </c>
      <c r="C161" s="222" t="s">
        <v>217</v>
      </c>
      <c r="D161" s="222"/>
      <c r="E161" s="231">
        <f t="shared" si="35"/>
        <v>0</v>
      </c>
      <c r="F161" s="231">
        <f t="shared" si="35"/>
        <v>0</v>
      </c>
      <c r="G161" s="231">
        <f t="shared" si="35"/>
        <v>0</v>
      </c>
      <c r="H161" s="231">
        <f t="shared" si="35"/>
        <v>0</v>
      </c>
      <c r="I161" s="231">
        <f t="shared" si="35"/>
        <v>0</v>
      </c>
      <c r="J161" s="231">
        <f t="shared" si="35"/>
        <v>0</v>
      </c>
    </row>
    <row r="162" spans="1:10" x14ac:dyDescent="0.2">
      <c r="A162" s="247"/>
      <c r="B162" s="247">
        <v>246</v>
      </c>
      <c r="C162" s="222" t="s">
        <v>218</v>
      </c>
      <c r="D162" s="222"/>
      <c r="E162" s="231">
        <f t="shared" si="35"/>
        <v>0</v>
      </c>
      <c r="F162" s="231">
        <f t="shared" si="35"/>
        <v>0</v>
      </c>
      <c r="G162" s="231">
        <f t="shared" si="35"/>
        <v>0</v>
      </c>
      <c r="H162" s="231">
        <f t="shared" si="35"/>
        <v>6000</v>
      </c>
      <c r="I162" s="231">
        <f t="shared" si="35"/>
        <v>6000</v>
      </c>
      <c r="J162" s="231">
        <f t="shared" si="35"/>
        <v>6000</v>
      </c>
    </row>
    <row r="163" spans="1:10" x14ac:dyDescent="0.2">
      <c r="A163" s="247"/>
      <c r="B163" s="247">
        <v>247</v>
      </c>
      <c r="C163" s="222" t="s">
        <v>219</v>
      </c>
      <c r="D163" s="222"/>
      <c r="E163" s="231">
        <f t="shared" si="35"/>
        <v>0</v>
      </c>
      <c r="F163" s="231">
        <f t="shared" si="35"/>
        <v>0</v>
      </c>
      <c r="G163" s="231">
        <f t="shared" si="35"/>
        <v>0</v>
      </c>
      <c r="H163" s="231">
        <f t="shared" si="35"/>
        <v>0</v>
      </c>
      <c r="I163" s="231">
        <f t="shared" si="35"/>
        <v>0</v>
      </c>
      <c r="J163" s="231">
        <f t="shared" si="35"/>
        <v>0</v>
      </c>
    </row>
    <row r="164" spans="1:10" x14ac:dyDescent="0.2">
      <c r="A164" s="247"/>
      <c r="B164" s="247">
        <v>260</v>
      </c>
      <c r="C164" s="222" t="s">
        <v>220</v>
      </c>
      <c r="D164" s="222"/>
      <c r="E164" s="231">
        <f t="shared" si="35"/>
        <v>0</v>
      </c>
      <c r="F164" s="231">
        <f t="shared" si="35"/>
        <v>0</v>
      </c>
      <c r="G164" s="231">
        <f t="shared" si="35"/>
        <v>0</v>
      </c>
      <c r="H164" s="231">
        <f t="shared" si="35"/>
        <v>2800</v>
      </c>
      <c r="I164" s="231">
        <f t="shared" si="35"/>
        <v>2800</v>
      </c>
      <c r="J164" s="231">
        <f t="shared" si="35"/>
        <v>2800</v>
      </c>
    </row>
    <row r="165" spans="1:10" x14ac:dyDescent="0.2">
      <c r="A165" s="247"/>
      <c r="B165" s="247">
        <v>261</v>
      </c>
      <c r="C165" s="222" t="s">
        <v>221</v>
      </c>
      <c r="D165" s="222"/>
      <c r="E165" s="231">
        <f t="shared" si="35"/>
        <v>0</v>
      </c>
      <c r="F165" s="231">
        <f t="shared" si="35"/>
        <v>0</v>
      </c>
      <c r="G165" s="231">
        <f t="shared" si="35"/>
        <v>0</v>
      </c>
      <c r="H165" s="231">
        <f t="shared" si="35"/>
        <v>0</v>
      </c>
      <c r="I165" s="231">
        <f t="shared" si="35"/>
        <v>0</v>
      </c>
      <c r="J165" s="231">
        <f t="shared" si="35"/>
        <v>0</v>
      </c>
    </row>
    <row r="166" spans="1:10" x14ac:dyDescent="0.2">
      <c r="A166" s="247"/>
      <c r="B166" s="247">
        <v>265</v>
      </c>
      <c r="C166" s="222" t="s">
        <v>222</v>
      </c>
      <c r="D166" s="222"/>
      <c r="E166" s="231">
        <f t="shared" si="35"/>
        <v>0</v>
      </c>
      <c r="F166" s="231">
        <f t="shared" si="35"/>
        <v>0</v>
      </c>
      <c r="G166" s="231">
        <f t="shared" si="35"/>
        <v>0</v>
      </c>
      <c r="H166" s="231">
        <f t="shared" si="35"/>
        <v>0</v>
      </c>
      <c r="I166" s="231">
        <f t="shared" si="35"/>
        <v>0</v>
      </c>
      <c r="J166" s="231">
        <f t="shared" si="35"/>
        <v>0</v>
      </c>
    </row>
    <row r="167" spans="1:10" x14ac:dyDescent="0.2">
      <c r="A167" s="247"/>
      <c r="B167" s="247">
        <v>266</v>
      </c>
      <c r="C167" s="222" t="s">
        <v>223</v>
      </c>
      <c r="D167" s="222"/>
      <c r="E167" s="231">
        <f t="shared" si="35"/>
        <v>0</v>
      </c>
      <c r="F167" s="231">
        <f t="shared" si="35"/>
        <v>0</v>
      </c>
      <c r="G167" s="231">
        <f t="shared" si="35"/>
        <v>0</v>
      </c>
      <c r="H167" s="231">
        <f t="shared" si="35"/>
        <v>0</v>
      </c>
      <c r="I167" s="231">
        <f t="shared" si="35"/>
        <v>0</v>
      </c>
      <c r="J167" s="231">
        <f t="shared" si="35"/>
        <v>0</v>
      </c>
    </row>
    <row r="168" spans="1:10" x14ac:dyDescent="0.2">
      <c r="A168" s="247"/>
      <c r="B168" s="247">
        <v>270</v>
      </c>
      <c r="C168" s="222" t="s">
        <v>224</v>
      </c>
      <c r="D168" s="222"/>
      <c r="E168" s="231">
        <f t="shared" si="35"/>
        <v>0</v>
      </c>
      <c r="F168" s="231">
        <f t="shared" si="35"/>
        <v>0</v>
      </c>
      <c r="G168" s="231">
        <f t="shared" si="35"/>
        <v>0</v>
      </c>
      <c r="H168" s="231">
        <f t="shared" si="35"/>
        <v>0</v>
      </c>
      <c r="I168" s="231">
        <f t="shared" si="35"/>
        <v>0</v>
      </c>
      <c r="J168" s="231">
        <f t="shared" si="35"/>
        <v>0</v>
      </c>
    </row>
    <row r="169" spans="1:10" x14ac:dyDescent="0.2">
      <c r="A169" s="247"/>
      <c r="B169" s="247">
        <v>272</v>
      </c>
      <c r="C169" s="222" t="s">
        <v>225</v>
      </c>
      <c r="D169" s="222"/>
      <c r="E169" s="231">
        <f t="shared" si="35"/>
        <v>0</v>
      </c>
      <c r="F169" s="231">
        <f t="shared" si="35"/>
        <v>0</v>
      </c>
      <c r="G169" s="231">
        <f t="shared" si="35"/>
        <v>0</v>
      </c>
      <c r="H169" s="231">
        <f t="shared" si="35"/>
        <v>0</v>
      </c>
      <c r="I169" s="231">
        <f t="shared" si="35"/>
        <v>0</v>
      </c>
      <c r="J169" s="231">
        <f t="shared" si="35"/>
        <v>0</v>
      </c>
    </row>
    <row r="170" spans="1:10" x14ac:dyDescent="0.2">
      <c r="A170" s="247"/>
      <c r="B170" s="247">
        <v>273</v>
      </c>
      <c r="C170" s="222" t="s">
        <v>226</v>
      </c>
      <c r="D170" s="222"/>
      <c r="E170" s="231">
        <f t="shared" si="35"/>
        <v>0</v>
      </c>
      <c r="F170" s="231">
        <f t="shared" si="35"/>
        <v>0</v>
      </c>
      <c r="G170" s="231">
        <f t="shared" si="35"/>
        <v>0</v>
      </c>
      <c r="H170" s="231">
        <f t="shared" si="35"/>
        <v>0</v>
      </c>
      <c r="I170" s="231">
        <f t="shared" si="35"/>
        <v>0</v>
      </c>
      <c r="J170" s="231">
        <f t="shared" si="35"/>
        <v>0</v>
      </c>
    </row>
    <row r="171" spans="1:10" x14ac:dyDescent="0.2">
      <c r="A171" s="247"/>
      <c r="B171" s="247">
        <v>274</v>
      </c>
      <c r="C171" s="222" t="s">
        <v>227</v>
      </c>
      <c r="D171" s="222"/>
      <c r="E171" s="231">
        <f t="shared" si="35"/>
        <v>0</v>
      </c>
      <c r="F171" s="231">
        <f t="shared" si="35"/>
        <v>0</v>
      </c>
      <c r="G171" s="231">
        <f t="shared" si="35"/>
        <v>0</v>
      </c>
      <c r="H171" s="231">
        <f t="shared" si="35"/>
        <v>0</v>
      </c>
      <c r="I171" s="231">
        <f t="shared" si="35"/>
        <v>0</v>
      </c>
      <c r="J171" s="231">
        <f t="shared" si="35"/>
        <v>0</v>
      </c>
    </row>
    <row r="172" spans="1:10" x14ac:dyDescent="0.2">
      <c r="A172" s="247"/>
      <c r="B172" s="247">
        <v>275</v>
      </c>
      <c r="C172" s="222" t="s">
        <v>228</v>
      </c>
      <c r="D172" s="222"/>
      <c r="E172" s="231">
        <f t="shared" si="35"/>
        <v>0</v>
      </c>
      <c r="F172" s="231">
        <f t="shared" si="35"/>
        <v>0</v>
      </c>
      <c r="G172" s="231">
        <f t="shared" si="35"/>
        <v>0</v>
      </c>
      <c r="H172" s="231">
        <f t="shared" si="35"/>
        <v>5000</v>
      </c>
      <c r="I172" s="231">
        <f t="shared" si="35"/>
        <v>5000</v>
      </c>
      <c r="J172" s="231">
        <f t="shared" si="35"/>
        <v>5000</v>
      </c>
    </row>
    <row r="173" spans="1:10" x14ac:dyDescent="0.2">
      <c r="A173" s="247"/>
      <c r="B173" s="247">
        <v>276</v>
      </c>
      <c r="C173" s="222" t="s">
        <v>229</v>
      </c>
      <c r="D173" s="222"/>
      <c r="E173" s="231">
        <f t="shared" si="35"/>
        <v>0</v>
      </c>
      <c r="F173" s="231">
        <f t="shared" si="35"/>
        <v>0</v>
      </c>
      <c r="G173" s="231">
        <f t="shared" si="35"/>
        <v>0</v>
      </c>
      <c r="H173" s="231">
        <f t="shared" si="35"/>
        <v>0</v>
      </c>
      <c r="I173" s="231">
        <f t="shared" si="35"/>
        <v>0</v>
      </c>
      <c r="J173" s="231">
        <f t="shared" si="35"/>
        <v>0</v>
      </c>
    </row>
    <row r="174" spans="1:10" x14ac:dyDescent="0.2">
      <c r="A174" s="247"/>
      <c r="B174" s="247">
        <v>277</v>
      </c>
      <c r="C174" s="222" t="s">
        <v>230</v>
      </c>
      <c r="D174" s="222"/>
      <c r="E174" s="231">
        <f t="shared" ref="E174:J185" si="36">SUMIF($A$40:$A$717,$B174,E$40:E$717)</f>
        <v>0</v>
      </c>
      <c r="F174" s="231">
        <f t="shared" si="36"/>
        <v>0</v>
      </c>
      <c r="G174" s="231">
        <f t="shared" si="36"/>
        <v>0</v>
      </c>
      <c r="H174" s="231">
        <f t="shared" si="36"/>
        <v>0</v>
      </c>
      <c r="I174" s="231">
        <f t="shared" si="36"/>
        <v>0</v>
      </c>
      <c r="J174" s="231">
        <f t="shared" si="36"/>
        <v>0</v>
      </c>
    </row>
    <row r="175" spans="1:10" x14ac:dyDescent="0.2">
      <c r="A175" s="247"/>
      <c r="B175" s="247">
        <v>278</v>
      </c>
      <c r="C175" s="222" t="s">
        <v>231</v>
      </c>
      <c r="D175" s="222"/>
      <c r="E175" s="231">
        <f t="shared" si="36"/>
        <v>0</v>
      </c>
      <c r="F175" s="231">
        <f t="shared" si="36"/>
        <v>0</v>
      </c>
      <c r="G175" s="231">
        <f t="shared" si="36"/>
        <v>0</v>
      </c>
      <c r="H175" s="231">
        <f t="shared" si="36"/>
        <v>0</v>
      </c>
      <c r="I175" s="231">
        <f t="shared" si="36"/>
        <v>0</v>
      </c>
      <c r="J175" s="231">
        <f t="shared" si="36"/>
        <v>0</v>
      </c>
    </row>
    <row r="176" spans="1:10" x14ac:dyDescent="0.2">
      <c r="A176" s="247"/>
      <c r="B176" s="247">
        <v>279</v>
      </c>
      <c r="C176" s="222" t="s">
        <v>232</v>
      </c>
      <c r="D176" s="222"/>
      <c r="E176" s="231">
        <f t="shared" si="36"/>
        <v>0</v>
      </c>
      <c r="F176" s="231">
        <f t="shared" si="36"/>
        <v>0</v>
      </c>
      <c r="G176" s="231">
        <f t="shared" si="36"/>
        <v>0</v>
      </c>
      <c r="H176" s="231">
        <f t="shared" si="36"/>
        <v>0</v>
      </c>
      <c r="I176" s="231">
        <f t="shared" si="36"/>
        <v>0</v>
      </c>
      <c r="J176" s="231">
        <f t="shared" si="36"/>
        <v>0</v>
      </c>
    </row>
    <row r="177" spans="1:10" x14ac:dyDescent="0.2">
      <c r="A177" s="247"/>
      <c r="B177" s="247">
        <v>280</v>
      </c>
      <c r="C177" s="222" t="s">
        <v>233</v>
      </c>
      <c r="D177" s="222"/>
      <c r="E177" s="231">
        <f t="shared" si="36"/>
        <v>0</v>
      </c>
      <c r="F177" s="231">
        <f t="shared" si="36"/>
        <v>0</v>
      </c>
      <c r="G177" s="231">
        <f t="shared" si="36"/>
        <v>0</v>
      </c>
      <c r="H177" s="231">
        <f t="shared" si="36"/>
        <v>0</v>
      </c>
      <c r="I177" s="231">
        <f t="shared" si="36"/>
        <v>0</v>
      </c>
      <c r="J177" s="231">
        <f t="shared" si="36"/>
        <v>0</v>
      </c>
    </row>
    <row r="178" spans="1:10" x14ac:dyDescent="0.2">
      <c r="A178" s="247"/>
      <c r="B178" s="247">
        <v>281</v>
      </c>
      <c r="C178" s="222" t="s">
        <v>234</v>
      </c>
      <c r="D178" s="222"/>
      <c r="E178" s="231">
        <f t="shared" si="36"/>
        <v>0</v>
      </c>
      <c r="F178" s="231">
        <f t="shared" si="36"/>
        <v>0</v>
      </c>
      <c r="G178" s="231">
        <f t="shared" si="36"/>
        <v>0</v>
      </c>
      <c r="H178" s="231">
        <f t="shared" si="36"/>
        <v>0</v>
      </c>
      <c r="I178" s="231">
        <f t="shared" si="36"/>
        <v>0</v>
      </c>
      <c r="J178" s="231">
        <f t="shared" si="36"/>
        <v>0</v>
      </c>
    </row>
    <row r="179" spans="1:10" x14ac:dyDescent="0.2">
      <c r="A179" s="247"/>
      <c r="B179" s="247">
        <v>282</v>
      </c>
      <c r="C179" s="222" t="s">
        <v>235</v>
      </c>
      <c r="D179" s="222"/>
      <c r="E179" s="231">
        <f t="shared" si="36"/>
        <v>0</v>
      </c>
      <c r="F179" s="231">
        <f t="shared" si="36"/>
        <v>0</v>
      </c>
      <c r="G179" s="231">
        <f t="shared" si="36"/>
        <v>0</v>
      </c>
      <c r="H179" s="231">
        <f t="shared" si="36"/>
        <v>0</v>
      </c>
      <c r="I179" s="231">
        <f t="shared" si="36"/>
        <v>0</v>
      </c>
      <c r="J179" s="231">
        <f t="shared" si="36"/>
        <v>0</v>
      </c>
    </row>
    <row r="180" spans="1:10" x14ac:dyDescent="0.2">
      <c r="A180" s="247"/>
      <c r="B180" s="247">
        <v>283</v>
      </c>
      <c r="C180" s="222" t="s">
        <v>236</v>
      </c>
      <c r="D180" s="222"/>
      <c r="E180" s="231">
        <f t="shared" si="36"/>
        <v>0</v>
      </c>
      <c r="F180" s="231">
        <f t="shared" si="36"/>
        <v>0</v>
      </c>
      <c r="G180" s="231">
        <f t="shared" si="36"/>
        <v>0</v>
      </c>
      <c r="H180" s="231">
        <f t="shared" si="36"/>
        <v>0</v>
      </c>
      <c r="I180" s="231">
        <f t="shared" si="36"/>
        <v>0</v>
      </c>
      <c r="J180" s="231">
        <f t="shared" si="36"/>
        <v>0</v>
      </c>
    </row>
    <row r="181" spans="1:10" x14ac:dyDescent="0.2">
      <c r="A181" s="247"/>
      <c r="B181" s="247">
        <v>290</v>
      </c>
      <c r="C181" s="222" t="s">
        <v>238</v>
      </c>
      <c r="D181" s="222"/>
      <c r="E181" s="231">
        <f t="shared" si="36"/>
        <v>0</v>
      </c>
      <c r="F181" s="231">
        <f t="shared" si="36"/>
        <v>0</v>
      </c>
      <c r="G181" s="231">
        <f t="shared" si="36"/>
        <v>0</v>
      </c>
      <c r="H181" s="231">
        <f t="shared" si="36"/>
        <v>0</v>
      </c>
      <c r="I181" s="231">
        <f t="shared" si="36"/>
        <v>0</v>
      </c>
      <c r="J181" s="231">
        <f t="shared" si="36"/>
        <v>0</v>
      </c>
    </row>
    <row r="182" spans="1:10" x14ac:dyDescent="0.2">
      <c r="A182" s="247"/>
      <c r="B182" s="247">
        <v>292</v>
      </c>
      <c r="C182" s="222" t="s">
        <v>239</v>
      </c>
      <c r="D182" s="222"/>
      <c r="E182" s="231">
        <f t="shared" si="36"/>
        <v>0</v>
      </c>
      <c r="F182" s="231">
        <f t="shared" si="36"/>
        <v>0</v>
      </c>
      <c r="G182" s="231">
        <f t="shared" si="36"/>
        <v>0</v>
      </c>
      <c r="H182" s="231">
        <f t="shared" si="36"/>
        <v>0</v>
      </c>
      <c r="I182" s="231">
        <f t="shared" si="36"/>
        <v>0</v>
      </c>
      <c r="J182" s="231">
        <f t="shared" si="36"/>
        <v>0</v>
      </c>
    </row>
    <row r="183" spans="1:10" x14ac:dyDescent="0.2">
      <c r="A183" s="247"/>
      <c r="B183" s="247">
        <v>293</v>
      </c>
      <c r="C183" s="222" t="s">
        <v>240</v>
      </c>
      <c r="D183" s="222"/>
      <c r="E183" s="231">
        <f t="shared" si="36"/>
        <v>0</v>
      </c>
      <c r="F183" s="231">
        <f t="shared" si="36"/>
        <v>0</v>
      </c>
      <c r="G183" s="231">
        <f t="shared" si="36"/>
        <v>0</v>
      </c>
      <c r="H183" s="231">
        <f t="shared" si="36"/>
        <v>0</v>
      </c>
      <c r="I183" s="231">
        <f t="shared" si="36"/>
        <v>0</v>
      </c>
      <c r="J183" s="231">
        <f t="shared" si="36"/>
        <v>0</v>
      </c>
    </row>
    <row r="184" spans="1:10" x14ac:dyDescent="0.2">
      <c r="A184" s="222"/>
      <c r="B184" s="247"/>
      <c r="C184" s="229" t="s">
        <v>586</v>
      </c>
      <c r="D184" s="240"/>
      <c r="E184" s="248">
        <f t="shared" ref="E184:J184" si="37">SUM(E142:E183)</f>
        <v>0</v>
      </c>
      <c r="F184" s="248">
        <f t="shared" si="37"/>
        <v>0</v>
      </c>
      <c r="G184" s="248">
        <f t="shared" si="37"/>
        <v>0</v>
      </c>
      <c r="H184" s="248">
        <f t="shared" si="37"/>
        <v>1258000</v>
      </c>
      <c r="I184" s="248">
        <f t="shared" si="37"/>
        <v>1305900</v>
      </c>
      <c r="J184" s="248">
        <f t="shared" si="37"/>
        <v>1316700</v>
      </c>
    </row>
  </sheetData>
  <mergeCells count="122">
    <mergeCell ref="A114:E114"/>
    <mergeCell ref="A115:E115"/>
    <mergeCell ref="A116:J116"/>
    <mergeCell ref="A108:E108"/>
    <mergeCell ref="A109:E109"/>
    <mergeCell ref="A110:E110"/>
    <mergeCell ref="A111:E111"/>
    <mergeCell ref="A112:J112"/>
    <mergeCell ref="A113:E113"/>
    <mergeCell ref="A102:J102"/>
    <mergeCell ref="A103:J103"/>
    <mergeCell ref="A104:J104"/>
    <mergeCell ref="A105:E105"/>
    <mergeCell ref="A106:J106"/>
    <mergeCell ref="A107:E107"/>
    <mergeCell ref="A96:J96"/>
    <mergeCell ref="A97:J97"/>
    <mergeCell ref="A98:J98"/>
    <mergeCell ref="A99:J99"/>
    <mergeCell ref="A100:J100"/>
    <mergeCell ref="A101:J101"/>
    <mergeCell ref="A91:C91"/>
    <mergeCell ref="F91:H91"/>
    <mergeCell ref="A92:I92"/>
    <mergeCell ref="A93:J93"/>
    <mergeCell ref="A94:J94"/>
    <mergeCell ref="A95:J95"/>
    <mergeCell ref="A88:C88"/>
    <mergeCell ref="F88:H88"/>
    <mergeCell ref="A89:C89"/>
    <mergeCell ref="F89:H89"/>
    <mergeCell ref="A90:C90"/>
    <mergeCell ref="F90:H90"/>
    <mergeCell ref="C82:D82"/>
    <mergeCell ref="C83:D83"/>
    <mergeCell ref="A84:D84"/>
    <mergeCell ref="A85:I85"/>
    <mergeCell ref="A86:J86"/>
    <mergeCell ref="A87:C87"/>
    <mergeCell ref="F87:H87"/>
    <mergeCell ref="A79:J79"/>
    <mergeCell ref="A80:D80"/>
    <mergeCell ref="E80:E81"/>
    <mergeCell ref="F80:F81"/>
    <mergeCell ref="G80:G81"/>
    <mergeCell ref="H80:H81"/>
    <mergeCell ref="I80:I81"/>
    <mergeCell ref="J80:J81"/>
    <mergeCell ref="C81:D81"/>
    <mergeCell ref="B73:D73"/>
    <mergeCell ref="B74:D74"/>
    <mergeCell ref="B75:D75"/>
    <mergeCell ref="A76:D76"/>
    <mergeCell ref="A77:D77"/>
    <mergeCell ref="A78:J78"/>
    <mergeCell ref="B67:D67"/>
    <mergeCell ref="B68:D68"/>
    <mergeCell ref="B69:D69"/>
    <mergeCell ref="B70:D70"/>
    <mergeCell ref="B71:D71"/>
    <mergeCell ref="B72:D72"/>
    <mergeCell ref="B61:D61"/>
    <mergeCell ref="A62:D62"/>
    <mergeCell ref="A63:I63"/>
    <mergeCell ref="B64:D64"/>
    <mergeCell ref="B65:D65"/>
    <mergeCell ref="B66:D66"/>
    <mergeCell ref="A55:J55"/>
    <mergeCell ref="B56:D56"/>
    <mergeCell ref="A57:I57"/>
    <mergeCell ref="B58:D58"/>
    <mergeCell ref="B59:D59"/>
    <mergeCell ref="B60:D60"/>
    <mergeCell ref="A49:J49"/>
    <mergeCell ref="A50:J50"/>
    <mergeCell ref="B51:D51"/>
    <mergeCell ref="B52:D52"/>
    <mergeCell ref="A53:D53"/>
    <mergeCell ref="A54:J54"/>
    <mergeCell ref="A43:J43"/>
    <mergeCell ref="A44:J44"/>
    <mergeCell ref="A45:D45"/>
    <mergeCell ref="A46:J46"/>
    <mergeCell ref="A47:J47"/>
    <mergeCell ref="A48:C48"/>
    <mergeCell ref="D48:J48"/>
    <mergeCell ref="A37:J37"/>
    <mergeCell ref="C38:D38"/>
    <mergeCell ref="C39:D39"/>
    <mergeCell ref="A40:D40"/>
    <mergeCell ref="A41:J41"/>
    <mergeCell ref="A42:D42"/>
    <mergeCell ref="B31:D31"/>
    <mergeCell ref="B32:D32"/>
    <mergeCell ref="B33:D33"/>
    <mergeCell ref="B34:D34"/>
    <mergeCell ref="A35:D35"/>
    <mergeCell ref="A36:J36"/>
    <mergeCell ref="B25:D25"/>
    <mergeCell ref="A26:D26"/>
    <mergeCell ref="A27:D27"/>
    <mergeCell ref="A28:J28"/>
    <mergeCell ref="A29:J29"/>
    <mergeCell ref="B30:D30"/>
    <mergeCell ref="B19:D19"/>
    <mergeCell ref="A20:J20"/>
    <mergeCell ref="B21:D21"/>
    <mergeCell ref="A22:D22"/>
    <mergeCell ref="A23:J23"/>
    <mergeCell ref="A24:J24"/>
    <mergeCell ref="A13:J13"/>
    <mergeCell ref="A14:J14"/>
    <mergeCell ref="A15:J15"/>
    <mergeCell ref="A16:J16"/>
    <mergeCell ref="A17:J17"/>
    <mergeCell ref="A18:J18"/>
    <mergeCell ref="A1:J1"/>
    <mergeCell ref="A2:J2"/>
    <mergeCell ref="A3:J3"/>
    <mergeCell ref="A10:J10"/>
    <mergeCell ref="A11:J11"/>
    <mergeCell ref="A12:J12"/>
  </mergeCells>
  <printOptions horizontalCentered="1"/>
  <pageMargins left="0.25" right="0.25" top="0.75" bottom="0.75" header="0.3" footer="0.3"/>
  <pageSetup fitToHeight="0" orientation="portrait" r:id="rId1"/>
  <rowBreaks count="4" manualBreakCount="4">
    <brk id="46" max="9" man="1"/>
    <brk id="85" max="9" man="1"/>
    <brk id="117" max="9" man="1"/>
    <brk id="13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85"/>
  <sheetViews>
    <sheetView view="pageBreakPreview" zoomScaleNormal="100" zoomScaleSheetLayoutView="100" workbookViewId="0">
      <selection activeCell="B1" sqref="B1"/>
    </sheetView>
  </sheetViews>
  <sheetFormatPr defaultColWidth="9.140625" defaultRowHeight="14.25" x14ac:dyDescent="0.2"/>
  <cols>
    <col min="1" max="1" width="6.4257812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x14ac:dyDescent="0.2">
      <c r="A1" s="98" t="s">
        <v>254</v>
      </c>
      <c r="B1" s="98"/>
      <c r="C1" s="99"/>
      <c r="D1" s="99"/>
      <c r="E1" s="99"/>
      <c r="F1" s="99"/>
      <c r="G1" s="99"/>
      <c r="H1" s="99"/>
      <c r="I1" s="99"/>
      <c r="J1" s="99"/>
    </row>
    <row r="2" spans="1:10" x14ac:dyDescent="0.2">
      <c r="A2" s="98" t="s">
        <v>595</v>
      </c>
      <c r="B2" s="98"/>
      <c r="C2" s="101"/>
      <c r="D2" s="101"/>
      <c r="E2" s="101"/>
      <c r="F2" s="101"/>
      <c r="G2" s="101"/>
      <c r="H2" s="101"/>
      <c r="I2" s="101"/>
      <c r="J2" s="101"/>
    </row>
    <row r="3" spans="1:10" ht="15" thickBot="1" x14ac:dyDescent="0.25">
      <c r="A3" s="250"/>
      <c r="B3" s="251"/>
      <c r="C3" s="251"/>
      <c r="D3" s="251"/>
      <c r="E3" s="251"/>
      <c r="F3" s="251"/>
      <c r="G3" s="251"/>
      <c r="H3" s="251"/>
      <c r="I3" s="251"/>
      <c r="J3" s="252"/>
    </row>
    <row r="4" spans="1:10" x14ac:dyDescent="0.2">
      <c r="A4" s="253" t="s">
        <v>256</v>
      </c>
      <c r="B4" s="254" t="s">
        <v>257</v>
      </c>
      <c r="C4" s="254"/>
      <c r="D4" s="254"/>
      <c r="E4" s="254"/>
      <c r="F4" s="254"/>
      <c r="G4" s="255"/>
      <c r="H4" s="255"/>
      <c r="I4" s="255"/>
      <c r="J4" s="256"/>
    </row>
    <row r="5" spans="1:10" x14ac:dyDescent="0.2">
      <c r="A5" s="105"/>
      <c r="B5" s="106" t="s">
        <v>596</v>
      </c>
      <c r="C5" s="106"/>
      <c r="D5" s="106"/>
      <c r="E5" s="106"/>
      <c r="F5" s="106"/>
      <c r="G5" s="107"/>
      <c r="H5" s="107"/>
      <c r="I5" s="107"/>
      <c r="J5" s="108"/>
    </row>
    <row r="6" spans="1:10" x14ac:dyDescent="0.2">
      <c r="A6" s="109"/>
      <c r="B6" s="106" t="s">
        <v>597</v>
      </c>
      <c r="C6" s="110"/>
      <c r="D6" s="110"/>
      <c r="E6" s="106"/>
      <c r="F6" s="106"/>
      <c r="G6" s="111"/>
      <c r="H6" s="111"/>
      <c r="I6" s="111"/>
      <c r="J6" s="112">
        <f>H69</f>
        <v>33868700</v>
      </c>
    </row>
    <row r="7" spans="1:10" x14ac:dyDescent="0.2">
      <c r="A7" s="115" t="s">
        <v>260</v>
      </c>
      <c r="B7" s="116" t="s">
        <v>261</v>
      </c>
      <c r="C7" s="116"/>
      <c r="D7" s="116" t="s">
        <v>598</v>
      </c>
      <c r="E7" s="116"/>
      <c r="F7" s="116"/>
      <c r="G7" s="117"/>
      <c r="H7" s="117"/>
      <c r="I7" s="117"/>
      <c r="J7" s="118"/>
    </row>
    <row r="8" spans="1:10" ht="15" thickBot="1" x14ac:dyDescent="0.25">
      <c r="A8" s="119" t="s">
        <v>263</v>
      </c>
      <c r="B8" s="120" t="s">
        <v>599</v>
      </c>
      <c r="C8" s="120"/>
      <c r="D8" s="121"/>
      <c r="E8" s="121"/>
      <c r="F8" s="121"/>
      <c r="G8" s="123"/>
      <c r="H8" s="123"/>
      <c r="I8" s="123"/>
      <c r="J8" s="124"/>
    </row>
    <row r="9" spans="1:10" ht="15" x14ac:dyDescent="0.2">
      <c r="A9" s="280"/>
      <c r="B9" s="280"/>
      <c r="C9" s="280"/>
      <c r="D9" s="280"/>
      <c r="E9" s="280"/>
      <c r="F9" s="280"/>
      <c r="G9" s="280"/>
      <c r="H9" s="280"/>
      <c r="I9" s="280"/>
      <c r="J9" s="280"/>
    </row>
    <row r="10" spans="1:10" ht="14.25" customHeight="1" x14ac:dyDescent="0.2">
      <c r="A10" s="128" t="s">
        <v>265</v>
      </c>
      <c r="B10" s="128"/>
      <c r="C10" s="128"/>
      <c r="D10" s="128"/>
      <c r="E10" s="128"/>
      <c r="F10" s="128"/>
      <c r="G10" s="128"/>
      <c r="H10" s="128"/>
      <c r="I10" s="128"/>
      <c r="J10" s="128"/>
    </row>
    <row r="11" spans="1:10" ht="25.5" customHeight="1" x14ac:dyDescent="0.2">
      <c r="A11" s="317" t="s">
        <v>600</v>
      </c>
      <c r="B11" s="317"/>
      <c r="C11" s="317"/>
      <c r="D11" s="317"/>
      <c r="E11" s="317"/>
      <c r="F11" s="317"/>
      <c r="G11" s="317"/>
      <c r="H11" s="317"/>
      <c r="I11" s="317"/>
      <c r="J11" s="317"/>
    </row>
    <row r="12" spans="1:10" x14ac:dyDescent="0.2">
      <c r="A12" s="317" t="s">
        <v>601</v>
      </c>
      <c r="B12" s="317"/>
      <c r="C12" s="317"/>
      <c r="D12" s="317"/>
      <c r="E12" s="317"/>
      <c r="F12" s="317"/>
      <c r="G12" s="317"/>
      <c r="H12" s="317"/>
      <c r="I12" s="317"/>
      <c r="J12" s="317"/>
    </row>
    <row r="13" spans="1:10" x14ac:dyDescent="0.2">
      <c r="A13" s="318" t="s">
        <v>602</v>
      </c>
      <c r="B13" s="319"/>
      <c r="C13" s="319"/>
      <c r="D13" s="319"/>
      <c r="E13" s="319"/>
      <c r="F13" s="319"/>
      <c r="G13" s="319"/>
      <c r="H13" s="319"/>
      <c r="I13" s="319"/>
      <c r="J13" s="320"/>
    </row>
    <row r="14" spans="1:10" ht="33" customHeight="1" x14ac:dyDescent="0.2">
      <c r="A14" s="317" t="s">
        <v>603</v>
      </c>
      <c r="B14" s="317"/>
      <c r="C14" s="317"/>
      <c r="D14" s="317"/>
      <c r="E14" s="317"/>
      <c r="F14" s="317"/>
      <c r="G14" s="317"/>
      <c r="H14" s="317"/>
      <c r="I14" s="317"/>
      <c r="J14" s="317"/>
    </row>
    <row r="15" spans="1:10" ht="25.5" customHeight="1" x14ac:dyDescent="0.2">
      <c r="A15" s="321" t="s">
        <v>604</v>
      </c>
      <c r="B15" s="321"/>
      <c r="C15" s="321"/>
      <c r="D15" s="321"/>
      <c r="E15" s="321"/>
      <c r="F15" s="321"/>
      <c r="G15" s="321"/>
      <c r="H15" s="321"/>
      <c r="I15" s="321"/>
      <c r="J15" s="322"/>
    </row>
    <row r="16" spans="1:10" x14ac:dyDescent="0.2">
      <c r="A16" s="282"/>
      <c r="B16" s="282"/>
      <c r="C16" s="282"/>
      <c r="D16" s="282"/>
      <c r="E16" s="282"/>
      <c r="F16" s="282"/>
      <c r="G16" s="282"/>
      <c r="H16" s="282"/>
      <c r="I16" s="282"/>
      <c r="J16" s="282"/>
    </row>
    <row r="17" spans="1:10" x14ac:dyDescent="0.2">
      <c r="A17" s="128" t="s">
        <v>267</v>
      </c>
      <c r="B17" s="128"/>
      <c r="C17" s="128"/>
      <c r="D17" s="128"/>
      <c r="E17" s="128"/>
      <c r="F17" s="128"/>
      <c r="G17" s="128"/>
      <c r="H17" s="128"/>
      <c r="I17" s="128"/>
      <c r="J17" s="128"/>
    </row>
    <row r="18" spans="1:10" ht="45.75" customHeight="1" x14ac:dyDescent="0.2">
      <c r="A18" s="323" t="s">
        <v>605</v>
      </c>
      <c r="B18" s="324"/>
      <c r="C18" s="324"/>
      <c r="D18" s="324"/>
      <c r="E18" s="324"/>
      <c r="F18" s="324"/>
      <c r="G18" s="324"/>
      <c r="H18" s="324"/>
      <c r="I18" s="324"/>
      <c r="J18" s="325"/>
    </row>
    <row r="19" spans="1:10" x14ac:dyDescent="0.2">
      <c r="A19" s="326" t="s">
        <v>606</v>
      </c>
      <c r="B19" s="327"/>
      <c r="C19" s="327"/>
      <c r="D19" s="327"/>
      <c r="E19" s="327"/>
      <c r="F19" s="327"/>
      <c r="G19" s="327"/>
      <c r="H19" s="327"/>
      <c r="I19" s="327"/>
      <c r="J19" s="328"/>
    </row>
    <row r="20" spans="1:10" x14ac:dyDescent="0.2">
      <c r="A20" s="326" t="s">
        <v>607</v>
      </c>
      <c r="B20" s="327"/>
      <c r="C20" s="327"/>
      <c r="D20" s="327"/>
      <c r="E20" s="327"/>
      <c r="F20" s="327"/>
      <c r="G20" s="327"/>
      <c r="H20" s="327"/>
      <c r="I20" s="327"/>
      <c r="J20" s="328"/>
    </row>
    <row r="21" spans="1:10" x14ac:dyDescent="0.2">
      <c r="A21" s="327" t="s">
        <v>608</v>
      </c>
      <c r="B21" s="327"/>
      <c r="C21" s="327"/>
      <c r="D21" s="327"/>
      <c r="E21" s="327"/>
      <c r="F21" s="327"/>
      <c r="G21" s="327"/>
      <c r="H21" s="327"/>
      <c r="I21" s="327"/>
      <c r="J21" s="328"/>
    </row>
    <row r="22" spans="1:10" x14ac:dyDescent="0.2">
      <c r="A22" s="326" t="s">
        <v>609</v>
      </c>
      <c r="B22" s="327"/>
      <c r="C22" s="327"/>
      <c r="D22" s="327"/>
      <c r="E22" s="327"/>
      <c r="F22" s="327"/>
      <c r="G22" s="327"/>
      <c r="H22" s="327"/>
      <c r="I22" s="327"/>
      <c r="J22" s="328"/>
    </row>
    <row r="23" spans="1:10" x14ac:dyDescent="0.2">
      <c r="A23" s="318" t="s">
        <v>610</v>
      </c>
      <c r="B23" s="319"/>
      <c r="C23" s="319"/>
      <c r="D23" s="319"/>
      <c r="E23" s="319"/>
      <c r="F23" s="319"/>
      <c r="G23" s="319"/>
      <c r="H23" s="319"/>
      <c r="I23" s="319"/>
      <c r="J23" s="320"/>
    </row>
    <row r="24" spans="1:10" x14ac:dyDescent="0.2">
      <c r="A24" s="327" t="s">
        <v>611</v>
      </c>
      <c r="B24" s="327"/>
      <c r="C24" s="327"/>
      <c r="D24" s="327"/>
      <c r="E24" s="327"/>
      <c r="F24" s="327"/>
      <c r="G24" s="327"/>
      <c r="H24" s="327"/>
      <c r="I24" s="327"/>
      <c r="J24" s="328"/>
    </row>
    <row r="25" spans="1:10" x14ac:dyDescent="0.2">
      <c r="A25" s="326" t="s">
        <v>612</v>
      </c>
      <c r="B25" s="327"/>
      <c r="C25" s="327"/>
      <c r="D25" s="327"/>
      <c r="E25" s="327"/>
      <c r="F25" s="327"/>
      <c r="G25" s="327"/>
      <c r="H25" s="327"/>
      <c r="I25" s="327"/>
      <c r="J25" s="328"/>
    </row>
    <row r="26" spans="1:10" x14ac:dyDescent="0.2">
      <c r="A26" s="282"/>
      <c r="B26" s="282"/>
      <c r="C26" s="282"/>
      <c r="D26" s="282"/>
      <c r="E26" s="282"/>
      <c r="F26" s="282"/>
      <c r="G26" s="282"/>
      <c r="H26" s="282"/>
      <c r="I26" s="282"/>
      <c r="J26" s="282"/>
    </row>
    <row r="27" spans="1:10" x14ac:dyDescent="0.2">
      <c r="A27" s="128" t="s">
        <v>269</v>
      </c>
      <c r="B27" s="128"/>
      <c r="C27" s="128"/>
      <c r="D27" s="128"/>
      <c r="E27" s="128"/>
      <c r="F27" s="128"/>
      <c r="G27" s="128"/>
      <c r="H27" s="128"/>
      <c r="I27" s="128"/>
      <c r="J27" s="128"/>
    </row>
    <row r="28" spans="1:10" ht="40.5" customHeight="1" x14ac:dyDescent="0.2">
      <c r="A28" s="329" t="s">
        <v>613</v>
      </c>
      <c r="B28" s="329"/>
      <c r="C28" s="329"/>
      <c r="D28" s="329"/>
      <c r="E28" s="329"/>
      <c r="F28" s="329"/>
      <c r="G28" s="329"/>
      <c r="H28" s="329"/>
      <c r="I28" s="329"/>
      <c r="J28" s="330"/>
    </row>
    <row r="29" spans="1:10" x14ac:dyDescent="0.2">
      <c r="A29" s="129"/>
      <c r="B29" s="129"/>
      <c r="C29" s="129"/>
      <c r="D29" s="129"/>
      <c r="E29" s="129"/>
      <c r="F29" s="129"/>
      <c r="G29" s="129"/>
      <c r="H29" s="129"/>
      <c r="I29" s="129"/>
      <c r="J29" s="129"/>
    </row>
    <row r="30" spans="1:10" x14ac:dyDescent="0.2">
      <c r="A30" s="128" t="s">
        <v>272</v>
      </c>
      <c r="B30" s="128"/>
      <c r="C30" s="128"/>
      <c r="D30" s="128"/>
      <c r="E30" s="128"/>
      <c r="F30" s="128"/>
      <c r="G30" s="128"/>
      <c r="H30" s="128"/>
      <c r="I30" s="128"/>
      <c r="J30" s="128"/>
    </row>
    <row r="31" spans="1:10" ht="48.75" customHeight="1" x14ac:dyDescent="0.2">
      <c r="A31" s="188" t="s">
        <v>614</v>
      </c>
      <c r="B31" s="188"/>
      <c r="C31" s="188"/>
      <c r="D31" s="188"/>
      <c r="E31" s="188"/>
      <c r="F31" s="188"/>
      <c r="G31" s="188"/>
      <c r="H31" s="188"/>
      <c r="I31" s="188"/>
      <c r="J31" s="188"/>
    </row>
    <row r="32" spans="1:10" x14ac:dyDescent="0.2">
      <c r="A32" s="283"/>
      <c r="B32" s="283"/>
      <c r="C32" s="283"/>
      <c r="D32" s="283"/>
      <c r="E32" s="283"/>
      <c r="F32" s="283"/>
      <c r="G32" s="283"/>
      <c r="H32" s="283"/>
      <c r="I32" s="283"/>
      <c r="J32" s="283"/>
    </row>
    <row r="33" spans="1:10" x14ac:dyDescent="0.2">
      <c r="A33" s="128" t="s">
        <v>275</v>
      </c>
      <c r="B33" s="128"/>
      <c r="C33" s="128"/>
      <c r="D33" s="128"/>
      <c r="E33" s="128"/>
      <c r="F33" s="128"/>
      <c r="G33" s="128"/>
      <c r="H33" s="128"/>
      <c r="I33" s="128"/>
      <c r="J33" s="128"/>
    </row>
    <row r="34" spans="1:10" ht="33.75" x14ac:dyDescent="0.2">
      <c r="A34" s="130" t="s">
        <v>243</v>
      </c>
      <c r="B34" s="131" t="s">
        <v>242</v>
      </c>
      <c r="C34" s="131"/>
      <c r="D34" s="131"/>
      <c r="E34" s="132" t="str">
        <f>Summary!$G$25</f>
        <v>Actuals           2014-2015</v>
      </c>
      <c r="F34" s="132" t="str">
        <f>Summary!$H$25</f>
        <v>Approved Estimates          2015-2016</v>
      </c>
      <c r="G34" s="132" t="str">
        <f>Summary!$I$25</f>
        <v>Revised Estimates                 2015-2016</v>
      </c>
      <c r="H34" s="132" t="str">
        <f>Summary!$J$25</f>
        <v>Budget Estimates      2016-2017</v>
      </c>
      <c r="I34" s="132" t="str">
        <f>Summary!$K$25</f>
        <v>Forward Estimates     2017-2018</v>
      </c>
      <c r="J34" s="132" t="str">
        <f>Summary!$L$25</f>
        <v>Forward Estimates     2018-2019</v>
      </c>
    </row>
    <row r="35" spans="1:10" x14ac:dyDescent="0.2">
      <c r="A35" s="128" t="s">
        <v>276</v>
      </c>
      <c r="B35" s="128"/>
      <c r="C35" s="128"/>
      <c r="D35" s="128"/>
      <c r="E35" s="128"/>
      <c r="F35" s="128"/>
      <c r="G35" s="128"/>
      <c r="H35" s="128"/>
      <c r="I35" s="128"/>
      <c r="J35" s="128"/>
    </row>
    <row r="36" spans="1:10" ht="15" customHeight="1" x14ac:dyDescent="0.2">
      <c r="A36" s="207" t="s">
        <v>615</v>
      </c>
      <c r="B36" s="129" t="s">
        <v>616</v>
      </c>
      <c r="C36" s="129"/>
      <c r="D36" s="129"/>
      <c r="E36" s="211">
        <f t="shared" ref="E36:J36" si="0">E80</f>
        <v>360380</v>
      </c>
      <c r="F36" s="209">
        <f t="shared" si="0"/>
        <v>218200</v>
      </c>
      <c r="G36" s="211">
        <f t="shared" si="0"/>
        <v>228300</v>
      </c>
      <c r="H36" s="210">
        <f t="shared" si="0"/>
        <v>270000</v>
      </c>
      <c r="I36" s="211">
        <f t="shared" si="0"/>
        <v>270000</v>
      </c>
      <c r="J36" s="211">
        <f t="shared" si="0"/>
        <v>270000</v>
      </c>
    </row>
    <row r="37" spans="1:10" ht="15" customHeight="1" x14ac:dyDescent="0.2">
      <c r="A37" s="207" t="s">
        <v>617</v>
      </c>
      <c r="B37" s="129" t="s">
        <v>618</v>
      </c>
      <c r="C37" s="129"/>
      <c r="D37" s="129"/>
      <c r="E37" s="211">
        <f t="shared" ref="E37:J37" si="1">E164</f>
        <v>0</v>
      </c>
      <c r="F37" s="209">
        <f t="shared" si="1"/>
        <v>0</v>
      </c>
      <c r="G37" s="211">
        <f t="shared" si="1"/>
        <v>0</v>
      </c>
      <c r="H37" s="210">
        <f t="shared" si="1"/>
        <v>0</v>
      </c>
      <c r="I37" s="211">
        <f t="shared" si="1"/>
        <v>0</v>
      </c>
      <c r="J37" s="211">
        <f t="shared" si="1"/>
        <v>0</v>
      </c>
    </row>
    <row r="38" spans="1:10" ht="15" customHeight="1" x14ac:dyDescent="0.2">
      <c r="A38" s="207" t="s">
        <v>619</v>
      </c>
      <c r="B38" s="129" t="s">
        <v>620</v>
      </c>
      <c r="C38" s="129"/>
      <c r="D38" s="129"/>
      <c r="E38" s="211">
        <f t="shared" ref="E38:J38" si="2">E235</f>
        <v>0</v>
      </c>
      <c r="F38" s="209">
        <f t="shared" si="2"/>
        <v>0</v>
      </c>
      <c r="G38" s="211">
        <f t="shared" si="2"/>
        <v>0</v>
      </c>
      <c r="H38" s="210">
        <f t="shared" si="2"/>
        <v>0</v>
      </c>
      <c r="I38" s="211">
        <f t="shared" si="2"/>
        <v>0</v>
      </c>
      <c r="J38" s="211">
        <f t="shared" si="2"/>
        <v>0</v>
      </c>
    </row>
    <row r="39" spans="1:10" ht="15" customHeight="1" x14ac:dyDescent="0.2">
      <c r="A39" s="207" t="s">
        <v>621</v>
      </c>
      <c r="B39" s="129" t="s">
        <v>622</v>
      </c>
      <c r="C39" s="129"/>
      <c r="D39" s="129"/>
      <c r="E39" s="211">
        <f t="shared" ref="E39:J39" si="3">E301</f>
        <v>840</v>
      </c>
      <c r="F39" s="209">
        <f t="shared" si="3"/>
        <v>1100</v>
      </c>
      <c r="G39" s="211">
        <f t="shared" si="3"/>
        <v>1100</v>
      </c>
      <c r="H39" s="210">
        <f t="shared" si="3"/>
        <v>1100</v>
      </c>
      <c r="I39" s="211">
        <f t="shared" si="3"/>
        <v>1100</v>
      </c>
      <c r="J39" s="211">
        <f t="shared" si="3"/>
        <v>1100</v>
      </c>
    </row>
    <row r="40" spans="1:10" ht="15" customHeight="1" x14ac:dyDescent="0.2">
      <c r="A40" s="207" t="s">
        <v>623</v>
      </c>
      <c r="B40" s="129" t="s">
        <v>624</v>
      </c>
      <c r="C40" s="129"/>
      <c r="D40" s="129"/>
      <c r="E40" s="211">
        <f t="shared" ref="E40:J40" si="4">E366</f>
        <v>1375</v>
      </c>
      <c r="F40" s="209">
        <f t="shared" si="4"/>
        <v>0</v>
      </c>
      <c r="G40" s="211">
        <f t="shared" si="4"/>
        <v>0</v>
      </c>
      <c r="H40" s="210">
        <f t="shared" si="4"/>
        <v>0</v>
      </c>
      <c r="I40" s="211">
        <f t="shared" si="4"/>
        <v>0</v>
      </c>
      <c r="J40" s="211">
        <f t="shared" si="4"/>
        <v>0</v>
      </c>
    </row>
    <row r="41" spans="1:10" ht="15" customHeight="1" x14ac:dyDescent="0.2">
      <c r="A41" s="207" t="s">
        <v>625</v>
      </c>
      <c r="B41" s="129" t="s">
        <v>626</v>
      </c>
      <c r="C41" s="129"/>
      <c r="D41" s="129"/>
      <c r="E41" s="211">
        <f t="shared" ref="E41:J41" si="5">E434</f>
        <v>0</v>
      </c>
      <c r="F41" s="209">
        <f t="shared" si="5"/>
        <v>0</v>
      </c>
      <c r="G41" s="211">
        <f t="shared" si="5"/>
        <v>0</v>
      </c>
      <c r="H41" s="210">
        <f t="shared" si="5"/>
        <v>0</v>
      </c>
      <c r="I41" s="211">
        <f t="shared" si="5"/>
        <v>0</v>
      </c>
      <c r="J41" s="211">
        <f t="shared" si="5"/>
        <v>0</v>
      </c>
    </row>
    <row r="42" spans="1:10" x14ac:dyDescent="0.2">
      <c r="A42" s="137" t="s">
        <v>627</v>
      </c>
      <c r="B42" s="137"/>
      <c r="C42" s="137"/>
      <c r="D42" s="137"/>
      <c r="E42" s="138">
        <f t="shared" ref="E42:J42" si="6">SUM(E36:E41)</f>
        <v>362595</v>
      </c>
      <c r="F42" s="138">
        <f t="shared" si="6"/>
        <v>219300</v>
      </c>
      <c r="G42" s="138">
        <f t="shared" si="6"/>
        <v>229400</v>
      </c>
      <c r="H42" s="138">
        <f t="shared" si="6"/>
        <v>271100</v>
      </c>
      <c r="I42" s="138">
        <f t="shared" si="6"/>
        <v>271100</v>
      </c>
      <c r="J42" s="138">
        <f t="shared" si="6"/>
        <v>271100</v>
      </c>
    </row>
    <row r="43" spans="1:10" x14ac:dyDescent="0.2">
      <c r="A43" s="129"/>
      <c r="B43" s="129"/>
      <c r="C43" s="129"/>
      <c r="D43" s="129"/>
      <c r="E43" s="129"/>
      <c r="F43" s="129"/>
      <c r="G43" s="129"/>
      <c r="H43" s="129"/>
      <c r="I43" s="129"/>
      <c r="J43" s="129"/>
    </row>
    <row r="44" spans="1:10" x14ac:dyDescent="0.2">
      <c r="A44" s="128" t="s">
        <v>281</v>
      </c>
      <c r="B44" s="128"/>
      <c r="C44" s="128"/>
      <c r="D44" s="128"/>
      <c r="E44" s="128"/>
      <c r="F44" s="128"/>
      <c r="G44" s="128"/>
      <c r="H44" s="128"/>
      <c r="I44" s="128"/>
      <c r="J44" s="128"/>
    </row>
    <row r="45" spans="1:10" x14ac:dyDescent="0.2">
      <c r="A45" s="207" t="s">
        <v>615</v>
      </c>
      <c r="B45" s="129" t="s">
        <v>616</v>
      </c>
      <c r="C45" s="129"/>
      <c r="D45" s="129"/>
      <c r="E45" s="211">
        <f t="shared" ref="E45:J45" si="7">E103+E111</f>
        <v>16922168.899999999</v>
      </c>
      <c r="F45" s="209">
        <f t="shared" si="7"/>
        <v>15407800</v>
      </c>
      <c r="G45" s="211">
        <f t="shared" si="7"/>
        <v>16976000</v>
      </c>
      <c r="H45" s="210">
        <f t="shared" si="7"/>
        <v>16612500</v>
      </c>
      <c r="I45" s="211">
        <f t="shared" si="7"/>
        <v>14105700</v>
      </c>
      <c r="J45" s="211">
        <f t="shared" si="7"/>
        <v>14111700</v>
      </c>
    </row>
    <row r="46" spans="1:10" x14ac:dyDescent="0.2">
      <c r="A46" s="207" t="s">
        <v>617</v>
      </c>
      <c r="B46" s="129" t="s">
        <v>618</v>
      </c>
      <c r="C46" s="129"/>
      <c r="D46" s="129"/>
      <c r="E46" s="211">
        <f t="shared" ref="E46:J46" si="8">E184+E190</f>
        <v>3232119.4699999997</v>
      </c>
      <c r="F46" s="209">
        <f t="shared" si="8"/>
        <v>6913600</v>
      </c>
      <c r="G46" s="211">
        <f t="shared" si="8"/>
        <v>6562200</v>
      </c>
      <c r="H46" s="210">
        <f t="shared" si="8"/>
        <v>7943800</v>
      </c>
      <c r="I46" s="211">
        <f t="shared" si="8"/>
        <v>8119300</v>
      </c>
      <c r="J46" s="211">
        <f t="shared" si="8"/>
        <v>8134600</v>
      </c>
    </row>
    <row r="47" spans="1:10" x14ac:dyDescent="0.2">
      <c r="A47" s="207" t="s">
        <v>619</v>
      </c>
      <c r="B47" s="129" t="s">
        <v>620</v>
      </c>
      <c r="C47" s="129"/>
      <c r="D47" s="129"/>
      <c r="E47" s="211">
        <f t="shared" ref="E47:J47" si="9">E252+E259</f>
        <v>1126938.5499999998</v>
      </c>
      <c r="F47" s="209">
        <f t="shared" si="9"/>
        <v>1141600</v>
      </c>
      <c r="G47" s="211">
        <f t="shared" si="9"/>
        <v>1179500</v>
      </c>
      <c r="H47" s="210">
        <f t="shared" si="9"/>
        <v>1243700</v>
      </c>
      <c r="I47" s="211">
        <f t="shared" si="9"/>
        <v>1263000</v>
      </c>
      <c r="J47" s="211">
        <f t="shared" si="9"/>
        <v>1289400</v>
      </c>
    </row>
    <row r="48" spans="1:10" x14ac:dyDescent="0.2">
      <c r="A48" s="207" t="s">
        <v>621</v>
      </c>
      <c r="B48" s="129" t="s">
        <v>622</v>
      </c>
      <c r="C48" s="129"/>
      <c r="D48" s="129"/>
      <c r="E48" s="211">
        <f t="shared" ref="E48:J48" si="10">E321+E328</f>
        <v>61825.65</v>
      </c>
      <c r="F48" s="209">
        <f t="shared" si="10"/>
        <v>92000</v>
      </c>
      <c r="G48" s="211">
        <f t="shared" si="10"/>
        <v>91900</v>
      </c>
      <c r="H48" s="210">
        <f t="shared" si="10"/>
        <v>96200</v>
      </c>
      <c r="I48" s="211">
        <f t="shared" si="10"/>
        <v>98500</v>
      </c>
      <c r="J48" s="211">
        <f t="shared" si="10"/>
        <v>101500</v>
      </c>
    </row>
    <row r="49" spans="1:10" x14ac:dyDescent="0.2">
      <c r="A49" s="207" t="s">
        <v>623</v>
      </c>
      <c r="B49" s="129" t="s">
        <v>624</v>
      </c>
      <c r="C49" s="129"/>
      <c r="D49" s="129"/>
      <c r="E49" s="211">
        <f t="shared" ref="E49:J49" si="11">E387+E393</f>
        <v>7160670.7499999991</v>
      </c>
      <c r="F49" s="209">
        <f t="shared" si="11"/>
        <v>7852400</v>
      </c>
      <c r="G49" s="211">
        <f t="shared" si="11"/>
        <v>7506000</v>
      </c>
      <c r="H49" s="210">
        <f t="shared" si="11"/>
        <v>7644800</v>
      </c>
      <c r="I49" s="211">
        <f t="shared" si="11"/>
        <v>7648600</v>
      </c>
      <c r="J49" s="211">
        <f t="shared" si="11"/>
        <v>7653900</v>
      </c>
    </row>
    <row r="50" spans="1:10" x14ac:dyDescent="0.2">
      <c r="A50" s="207" t="s">
        <v>625</v>
      </c>
      <c r="B50" s="129" t="s">
        <v>626</v>
      </c>
      <c r="C50" s="129"/>
      <c r="D50" s="129"/>
      <c r="E50" s="211">
        <f t="shared" ref="E50:J50" si="12">E451+E458</f>
        <v>303576.12</v>
      </c>
      <c r="F50" s="209">
        <f t="shared" si="12"/>
        <v>331700</v>
      </c>
      <c r="G50" s="211">
        <f t="shared" si="12"/>
        <v>307900</v>
      </c>
      <c r="H50" s="210">
        <f t="shared" si="12"/>
        <v>327700</v>
      </c>
      <c r="I50" s="211">
        <f t="shared" si="12"/>
        <v>338600</v>
      </c>
      <c r="J50" s="211">
        <f t="shared" si="12"/>
        <v>330800</v>
      </c>
    </row>
    <row r="51" spans="1:10" x14ac:dyDescent="0.2">
      <c r="A51" s="139" t="s">
        <v>628</v>
      </c>
      <c r="B51" s="139"/>
      <c r="C51" s="139"/>
      <c r="D51" s="139"/>
      <c r="E51" s="140">
        <f t="shared" ref="E51:J51" si="13">SUM(E45:E50)</f>
        <v>28807299.439999998</v>
      </c>
      <c r="F51" s="140">
        <f t="shared" si="13"/>
        <v>31739100</v>
      </c>
      <c r="G51" s="140">
        <f t="shared" si="13"/>
        <v>32623500</v>
      </c>
      <c r="H51" s="140">
        <f t="shared" si="13"/>
        <v>33868700</v>
      </c>
      <c r="I51" s="140">
        <f t="shared" si="13"/>
        <v>31573700</v>
      </c>
      <c r="J51" s="140">
        <f t="shared" si="13"/>
        <v>31621900</v>
      </c>
    </row>
    <row r="52" spans="1:10" x14ac:dyDescent="0.2">
      <c r="A52" s="151"/>
      <c r="B52" s="151"/>
      <c r="C52" s="151"/>
      <c r="D52" s="151"/>
      <c r="E52" s="261"/>
      <c r="F52" s="286"/>
      <c r="G52" s="261"/>
      <c r="H52" s="261"/>
      <c r="I52" s="261"/>
      <c r="J52" s="261"/>
    </row>
    <row r="53" spans="1:10" x14ac:dyDescent="0.2">
      <c r="A53" s="141" t="s">
        <v>283</v>
      </c>
      <c r="B53" s="141"/>
      <c r="C53" s="141"/>
      <c r="D53" s="141"/>
      <c r="E53" s="141"/>
      <c r="F53" s="141"/>
      <c r="G53" s="141"/>
      <c r="H53" s="141"/>
      <c r="I53" s="141"/>
      <c r="J53" s="141"/>
    </row>
    <row r="54" spans="1:10" x14ac:dyDescent="0.2">
      <c r="A54" s="131" t="s">
        <v>284</v>
      </c>
      <c r="B54" s="131"/>
      <c r="C54" s="131"/>
      <c r="D54" s="131"/>
      <c r="E54" s="131"/>
      <c r="F54" s="131"/>
      <c r="G54" s="131"/>
      <c r="H54" s="131"/>
      <c r="I54" s="131"/>
      <c r="J54" s="131"/>
    </row>
    <row r="55" spans="1:10" x14ac:dyDescent="0.2">
      <c r="A55" s="261"/>
      <c r="B55" s="129" t="s">
        <v>7</v>
      </c>
      <c r="C55" s="101"/>
      <c r="D55" s="101"/>
      <c r="E55" s="331">
        <f t="shared" ref="E55:J55" si="14">E496</f>
        <v>2526221.9899999993</v>
      </c>
      <c r="F55" s="332">
        <f t="shared" si="14"/>
        <v>2675300</v>
      </c>
      <c r="G55" s="331">
        <f t="shared" si="14"/>
        <v>2621300</v>
      </c>
      <c r="H55" s="210">
        <f t="shared" si="14"/>
        <v>2854900</v>
      </c>
      <c r="I55" s="331">
        <f t="shared" si="14"/>
        <v>2937700</v>
      </c>
      <c r="J55" s="331">
        <f t="shared" si="14"/>
        <v>2992300</v>
      </c>
    </row>
    <row r="56" spans="1:10" x14ac:dyDescent="0.2">
      <c r="A56" s="261"/>
      <c r="B56" s="129" t="s">
        <v>196</v>
      </c>
      <c r="C56" s="101"/>
      <c r="D56" s="101"/>
      <c r="E56" s="331">
        <f t="shared" ref="E56:J56" si="15">E504</f>
        <v>100587.07</v>
      </c>
      <c r="F56" s="332">
        <f t="shared" si="15"/>
        <v>106400</v>
      </c>
      <c r="G56" s="331">
        <f t="shared" si="15"/>
        <v>102700</v>
      </c>
      <c r="H56" s="210">
        <f t="shared" si="15"/>
        <v>106400</v>
      </c>
      <c r="I56" s="331">
        <f t="shared" si="15"/>
        <v>106400</v>
      </c>
      <c r="J56" s="331">
        <f t="shared" si="15"/>
        <v>106400</v>
      </c>
    </row>
    <row r="57" spans="1:10" x14ac:dyDescent="0.2">
      <c r="A57" s="261"/>
      <c r="B57" s="129" t="s">
        <v>285</v>
      </c>
      <c r="C57" s="101"/>
      <c r="D57" s="101"/>
      <c r="E57" s="331">
        <f t="shared" ref="E57:J57" si="16">E512</f>
        <v>403225.04</v>
      </c>
      <c r="F57" s="332">
        <f t="shared" si="16"/>
        <v>411900</v>
      </c>
      <c r="G57" s="331">
        <f t="shared" si="16"/>
        <v>421500</v>
      </c>
      <c r="H57" s="210">
        <f t="shared" si="16"/>
        <v>429100</v>
      </c>
      <c r="I57" s="331">
        <f t="shared" si="16"/>
        <v>411900</v>
      </c>
      <c r="J57" s="331">
        <f t="shared" si="16"/>
        <v>411900</v>
      </c>
    </row>
    <row r="58" spans="1:10" x14ac:dyDescent="0.2">
      <c r="A58" s="261"/>
      <c r="B58" s="129" t="s">
        <v>198</v>
      </c>
      <c r="C58" s="101"/>
      <c r="D58" s="101"/>
      <c r="E58" s="331">
        <f t="shared" ref="E58:J58" si="17">E521</f>
        <v>13762836.4</v>
      </c>
      <c r="F58" s="332">
        <f t="shared" si="17"/>
        <v>12412300</v>
      </c>
      <c r="G58" s="331">
        <f t="shared" si="17"/>
        <v>11902900</v>
      </c>
      <c r="H58" s="210">
        <f t="shared" si="17"/>
        <v>11095800</v>
      </c>
      <c r="I58" s="331">
        <f t="shared" si="17"/>
        <v>11129300</v>
      </c>
      <c r="J58" s="331">
        <f t="shared" si="17"/>
        <v>11119900</v>
      </c>
    </row>
    <row r="59" spans="1:10" x14ac:dyDescent="0.2">
      <c r="A59" s="261"/>
      <c r="B59" s="129" t="s">
        <v>286</v>
      </c>
      <c r="C59" s="101"/>
      <c r="D59" s="101"/>
      <c r="E59" s="331">
        <f t="shared" ref="E59:J59" si="18">E530</f>
        <v>11430228.939999999</v>
      </c>
      <c r="F59" s="332">
        <f t="shared" si="18"/>
        <v>16133200</v>
      </c>
      <c r="G59" s="331">
        <f t="shared" si="18"/>
        <v>15598800</v>
      </c>
      <c r="H59" s="210">
        <f t="shared" si="18"/>
        <v>16901700</v>
      </c>
      <c r="I59" s="331">
        <f t="shared" si="18"/>
        <v>16988400</v>
      </c>
      <c r="J59" s="331">
        <f t="shared" si="18"/>
        <v>16991400</v>
      </c>
    </row>
    <row r="60" spans="1:10" x14ac:dyDescent="0.2">
      <c r="A60" s="139" t="s">
        <v>287</v>
      </c>
      <c r="B60" s="139"/>
      <c r="C60" s="139"/>
      <c r="D60" s="139"/>
      <c r="E60" s="140">
        <f t="shared" ref="E60:J60" si="19">SUM(E55:E59)</f>
        <v>28223099.439999998</v>
      </c>
      <c r="F60" s="140">
        <f t="shared" si="19"/>
        <v>31739100</v>
      </c>
      <c r="G60" s="140">
        <f t="shared" si="19"/>
        <v>30647200</v>
      </c>
      <c r="H60" s="140">
        <f t="shared" si="19"/>
        <v>31387900</v>
      </c>
      <c r="I60" s="140">
        <f t="shared" si="19"/>
        <v>31573700</v>
      </c>
      <c r="J60" s="140">
        <f t="shared" si="19"/>
        <v>31621900</v>
      </c>
    </row>
    <row r="61" spans="1:10" x14ac:dyDescent="0.2">
      <c r="A61" s="129"/>
      <c r="B61" s="129"/>
      <c r="C61" s="129"/>
      <c r="D61" s="129"/>
      <c r="E61" s="129"/>
      <c r="F61" s="129"/>
      <c r="G61" s="129"/>
      <c r="H61" s="129"/>
      <c r="I61" s="129"/>
      <c r="J61" s="129"/>
    </row>
    <row r="62" spans="1:10" x14ac:dyDescent="0.2">
      <c r="A62" s="131" t="s">
        <v>15</v>
      </c>
      <c r="B62" s="131"/>
      <c r="C62" s="131"/>
      <c r="D62" s="131"/>
      <c r="E62" s="131"/>
      <c r="F62" s="131"/>
      <c r="G62" s="131"/>
      <c r="H62" s="131"/>
      <c r="I62" s="131"/>
      <c r="J62" s="131"/>
    </row>
    <row r="63" spans="1:10" x14ac:dyDescent="0.2">
      <c r="A63" s="130" t="s">
        <v>243</v>
      </c>
      <c r="B63" s="130" t="s">
        <v>244</v>
      </c>
      <c r="C63" s="131" t="s">
        <v>245</v>
      </c>
      <c r="D63" s="142"/>
      <c r="E63" s="143"/>
      <c r="F63" s="143"/>
      <c r="G63" s="143"/>
      <c r="H63" s="143"/>
      <c r="I63" s="143"/>
      <c r="J63" s="143"/>
    </row>
    <row r="64" spans="1:10" x14ac:dyDescent="0.2">
      <c r="A64" s="333" t="str">
        <f>RIGHT(A108,3)</f>
        <v>01A</v>
      </c>
      <c r="B64" s="333" t="str">
        <f t="shared" ref="B64:C65" si="20">B108</f>
        <v>DFID</v>
      </c>
      <c r="C64" s="334" t="str">
        <f t="shared" si="20"/>
        <v>PSR2/3</v>
      </c>
      <c r="D64" s="334"/>
      <c r="E64" s="158">
        <f t="shared" ref="E64:J66" si="21">E108</f>
        <v>536700</v>
      </c>
      <c r="F64" s="158">
        <f t="shared" si="21"/>
        <v>0</v>
      </c>
      <c r="G64" s="158">
        <f t="shared" si="21"/>
        <v>1772700</v>
      </c>
      <c r="H64" s="136">
        <f t="shared" si="21"/>
        <v>2000000</v>
      </c>
      <c r="I64" s="158">
        <f t="shared" si="21"/>
        <v>0</v>
      </c>
      <c r="J64" s="158">
        <f t="shared" si="21"/>
        <v>0</v>
      </c>
    </row>
    <row r="65" spans="1:10" x14ac:dyDescent="0.2">
      <c r="A65" s="333" t="str">
        <f>RIGHT(A109,3)</f>
        <v>02A</v>
      </c>
      <c r="B65" s="333" t="str">
        <f t="shared" si="20"/>
        <v>DFID</v>
      </c>
      <c r="C65" s="334" t="str">
        <f t="shared" si="20"/>
        <v>Capacity Development Fund</v>
      </c>
      <c r="D65" s="334"/>
      <c r="E65" s="158">
        <f t="shared" si="21"/>
        <v>34800</v>
      </c>
      <c r="F65" s="158">
        <f t="shared" si="21"/>
        <v>0</v>
      </c>
      <c r="G65" s="158">
        <f t="shared" si="21"/>
        <v>203600</v>
      </c>
      <c r="H65" s="136">
        <f t="shared" si="21"/>
        <v>300000</v>
      </c>
      <c r="I65" s="158">
        <f t="shared" si="21"/>
        <v>0</v>
      </c>
      <c r="J65" s="158">
        <f t="shared" si="21"/>
        <v>0</v>
      </c>
    </row>
    <row r="66" spans="1:10" ht="15" customHeight="1" x14ac:dyDescent="0.2">
      <c r="A66" s="333" t="str">
        <f>RIGHT(A110,3)</f>
        <v>04A</v>
      </c>
      <c r="B66" s="333" t="str">
        <f>B110</f>
        <v>DFID</v>
      </c>
      <c r="C66" s="334" t="str">
        <f>C110</f>
        <v>Disaster Prepardness Repairs</v>
      </c>
      <c r="D66" s="334"/>
      <c r="E66" s="158">
        <f t="shared" si="21"/>
        <v>12700</v>
      </c>
      <c r="F66" s="158">
        <f t="shared" si="21"/>
        <v>0</v>
      </c>
      <c r="G66" s="158">
        <f t="shared" si="21"/>
        <v>0</v>
      </c>
      <c r="H66" s="136">
        <f t="shared" si="21"/>
        <v>180800</v>
      </c>
      <c r="I66" s="158">
        <f t="shared" si="21"/>
        <v>0</v>
      </c>
      <c r="J66" s="158">
        <f t="shared" si="21"/>
        <v>0</v>
      </c>
    </row>
    <row r="67" spans="1:10" x14ac:dyDescent="0.2">
      <c r="A67" s="139" t="s">
        <v>69</v>
      </c>
      <c r="B67" s="139"/>
      <c r="C67" s="139"/>
      <c r="D67" s="139"/>
      <c r="E67" s="140">
        <f t="shared" ref="E67:J67" si="22">SUM(E64:E66)</f>
        <v>584200</v>
      </c>
      <c r="F67" s="140">
        <f t="shared" si="22"/>
        <v>0</v>
      </c>
      <c r="G67" s="140">
        <f t="shared" si="22"/>
        <v>1976300</v>
      </c>
      <c r="H67" s="140">
        <f t="shared" si="22"/>
        <v>2480800</v>
      </c>
      <c r="I67" s="140">
        <f t="shared" si="22"/>
        <v>0</v>
      </c>
      <c r="J67" s="140">
        <f t="shared" si="22"/>
        <v>0</v>
      </c>
    </row>
    <row r="68" spans="1:10" x14ac:dyDescent="0.2">
      <c r="A68" s="129"/>
      <c r="B68" s="129"/>
      <c r="C68" s="129"/>
      <c r="D68" s="129"/>
      <c r="E68" s="129"/>
      <c r="F68" s="129"/>
      <c r="G68" s="129"/>
      <c r="H68" s="129"/>
      <c r="I68" s="129"/>
      <c r="J68" s="129"/>
    </row>
    <row r="69" spans="1:10" x14ac:dyDescent="0.2">
      <c r="A69" s="137" t="s">
        <v>628</v>
      </c>
      <c r="B69" s="137"/>
      <c r="C69" s="137"/>
      <c r="D69" s="137"/>
      <c r="E69" s="147">
        <f t="shared" ref="E69:J69" si="23">SUM(E60,E67)</f>
        <v>28807299.439999998</v>
      </c>
      <c r="F69" s="147">
        <f t="shared" si="23"/>
        <v>31739100</v>
      </c>
      <c r="G69" s="147">
        <f t="shared" si="23"/>
        <v>32623500</v>
      </c>
      <c r="H69" s="147">
        <f t="shared" si="23"/>
        <v>33868700</v>
      </c>
      <c r="I69" s="147">
        <f t="shared" si="23"/>
        <v>31573700</v>
      </c>
      <c r="J69" s="147">
        <f t="shared" si="23"/>
        <v>31621900</v>
      </c>
    </row>
    <row r="70" spans="1:10" x14ac:dyDescent="0.2">
      <c r="A70" s="129"/>
      <c r="B70" s="129"/>
      <c r="C70" s="129"/>
      <c r="D70" s="129"/>
      <c r="E70" s="129"/>
      <c r="F70" s="129"/>
      <c r="G70" s="129"/>
      <c r="H70" s="129"/>
      <c r="I70" s="129"/>
      <c r="J70" s="129"/>
    </row>
    <row r="71" spans="1:10" x14ac:dyDescent="0.2">
      <c r="A71" s="128" t="s">
        <v>288</v>
      </c>
      <c r="B71" s="128"/>
      <c r="C71" s="128"/>
      <c r="D71" s="128"/>
      <c r="E71" s="128"/>
      <c r="F71" s="128"/>
      <c r="G71" s="128"/>
      <c r="H71" s="128"/>
      <c r="I71" s="128"/>
      <c r="J71" s="128"/>
    </row>
    <row r="72" spans="1:10" x14ac:dyDescent="0.2">
      <c r="A72" s="137" t="s">
        <v>289</v>
      </c>
      <c r="B72" s="137"/>
      <c r="C72" s="137"/>
      <c r="D72" s="137"/>
      <c r="E72" s="149"/>
      <c r="F72" s="149"/>
      <c r="G72" s="149"/>
      <c r="H72" s="148"/>
      <c r="I72" s="149"/>
      <c r="J72" s="149"/>
    </row>
    <row r="73" spans="1:10" x14ac:dyDescent="0.2">
      <c r="A73" s="129"/>
      <c r="B73" s="129"/>
      <c r="C73" s="129"/>
      <c r="D73" s="129"/>
      <c r="E73" s="129"/>
      <c r="F73" s="129"/>
      <c r="G73" s="129"/>
      <c r="H73" s="129"/>
      <c r="I73" s="129"/>
      <c r="J73" s="129"/>
    </row>
    <row r="74" spans="1:10" x14ac:dyDescent="0.2">
      <c r="A74" s="150" t="s">
        <v>629</v>
      </c>
      <c r="B74" s="150"/>
      <c r="C74" s="150"/>
      <c r="D74" s="150"/>
      <c r="E74" s="150"/>
      <c r="F74" s="150"/>
      <c r="G74" s="150"/>
      <c r="H74" s="150"/>
      <c r="I74" s="150"/>
      <c r="J74" s="150"/>
    </row>
    <row r="75" spans="1:10" ht="15" customHeight="1" x14ac:dyDescent="0.2">
      <c r="A75" s="151" t="s">
        <v>291</v>
      </c>
      <c r="B75" s="151"/>
      <c r="C75" s="151"/>
      <c r="D75" s="101"/>
      <c r="E75" s="101"/>
      <c r="F75" s="101"/>
      <c r="G75" s="101"/>
      <c r="H75" s="101"/>
      <c r="I75" s="101"/>
      <c r="J75" s="101"/>
    </row>
    <row r="76" spans="1:10" ht="38.25" customHeight="1" x14ac:dyDescent="0.2">
      <c r="A76" s="129" t="s">
        <v>630</v>
      </c>
      <c r="B76" s="129"/>
      <c r="C76" s="129"/>
      <c r="D76" s="129"/>
      <c r="E76" s="129"/>
      <c r="F76" s="129"/>
      <c r="G76" s="129"/>
      <c r="H76" s="129"/>
      <c r="I76" s="129"/>
      <c r="J76" s="129"/>
    </row>
    <row r="77" spans="1:10" x14ac:dyDescent="0.2">
      <c r="A77" s="128" t="s">
        <v>293</v>
      </c>
      <c r="B77" s="128"/>
      <c r="C77" s="128"/>
      <c r="D77" s="128"/>
      <c r="E77" s="128"/>
      <c r="F77" s="128"/>
      <c r="G77" s="128"/>
      <c r="H77" s="128"/>
      <c r="I77" s="128"/>
      <c r="J77" s="128"/>
    </row>
    <row r="78" spans="1:10" ht="33.75" x14ac:dyDescent="0.2">
      <c r="A78" s="152" t="s">
        <v>243</v>
      </c>
      <c r="B78" s="151" t="s">
        <v>242</v>
      </c>
      <c r="C78" s="151"/>
      <c r="D78" s="151"/>
      <c r="E78" s="132" t="str">
        <f t="shared" ref="E78:J78" si="24">E34</f>
        <v>Actuals           2014-2015</v>
      </c>
      <c r="F78" s="132" t="str">
        <f t="shared" si="24"/>
        <v>Approved Estimates          2015-2016</v>
      </c>
      <c r="G78" s="132" t="str">
        <f t="shared" si="24"/>
        <v>Revised Estimates                 2015-2016</v>
      </c>
      <c r="H78" s="132" t="str">
        <f t="shared" si="24"/>
        <v>Budget Estimates      2016-2017</v>
      </c>
      <c r="I78" s="132" t="str">
        <f t="shared" si="24"/>
        <v>Forward Estimates     2017-2018</v>
      </c>
      <c r="J78" s="132" t="str">
        <f t="shared" si="24"/>
        <v>Forward Estimates     2018-2019</v>
      </c>
    </row>
    <row r="79" spans="1:10" ht="15" customHeight="1" x14ac:dyDescent="0.2">
      <c r="A79" s="133">
        <v>130</v>
      </c>
      <c r="B79" s="134" t="s">
        <v>631</v>
      </c>
      <c r="C79" s="134"/>
      <c r="D79" s="134"/>
      <c r="E79" s="135">
        <v>360380</v>
      </c>
      <c r="F79" s="135">
        <v>218200</v>
      </c>
      <c r="G79" s="135">
        <v>228300</v>
      </c>
      <c r="H79" s="136">
        <f>237900+32100</f>
        <v>270000</v>
      </c>
      <c r="I79" s="135">
        <f>237900+32100</f>
        <v>270000</v>
      </c>
      <c r="J79" s="135">
        <f>237900+32100</f>
        <v>270000</v>
      </c>
    </row>
    <row r="80" spans="1:10" ht="15" customHeight="1" x14ac:dyDescent="0.2">
      <c r="A80" s="137" t="s">
        <v>627</v>
      </c>
      <c r="B80" s="137"/>
      <c r="C80" s="137"/>
      <c r="D80" s="137"/>
      <c r="E80" s="138">
        <f t="shared" ref="E80:J80" si="25">SUM(E79:E79)</f>
        <v>360380</v>
      </c>
      <c r="F80" s="138">
        <f t="shared" si="25"/>
        <v>218200</v>
      </c>
      <c r="G80" s="138">
        <f t="shared" si="25"/>
        <v>228300</v>
      </c>
      <c r="H80" s="138">
        <f t="shared" si="25"/>
        <v>270000</v>
      </c>
      <c r="I80" s="138">
        <f t="shared" si="25"/>
        <v>270000</v>
      </c>
      <c r="J80" s="138">
        <f t="shared" si="25"/>
        <v>270000</v>
      </c>
    </row>
    <row r="81" spans="1:10" ht="15" customHeight="1" x14ac:dyDescent="0.2">
      <c r="A81" s="129"/>
      <c r="B81" s="129"/>
      <c r="C81" s="129"/>
      <c r="D81" s="129"/>
      <c r="E81" s="129"/>
      <c r="F81" s="129"/>
      <c r="G81" s="129"/>
      <c r="H81" s="129"/>
      <c r="I81" s="129"/>
      <c r="J81" s="129"/>
    </row>
    <row r="82" spans="1:10" x14ac:dyDescent="0.2">
      <c r="A82" s="128" t="s">
        <v>284</v>
      </c>
      <c r="B82" s="128"/>
      <c r="C82" s="128"/>
      <c r="D82" s="128"/>
      <c r="E82" s="128"/>
      <c r="F82" s="128"/>
      <c r="G82" s="128"/>
      <c r="H82" s="128"/>
      <c r="I82" s="128"/>
      <c r="J82" s="128"/>
    </row>
    <row r="83" spans="1:10" ht="33.75" customHeight="1" x14ac:dyDescent="0.2">
      <c r="A83" s="152" t="s">
        <v>243</v>
      </c>
      <c r="B83" s="151" t="s">
        <v>242</v>
      </c>
      <c r="C83" s="151"/>
      <c r="D83" s="151"/>
      <c r="E83" s="132" t="str">
        <f t="shared" ref="E83:J83" si="26">E34</f>
        <v>Actuals           2014-2015</v>
      </c>
      <c r="F83" s="132" t="str">
        <f t="shared" si="26"/>
        <v>Approved Estimates          2015-2016</v>
      </c>
      <c r="G83" s="132" t="str">
        <f t="shared" si="26"/>
        <v>Revised Estimates                 2015-2016</v>
      </c>
      <c r="H83" s="132" t="str">
        <f t="shared" si="26"/>
        <v>Budget Estimates      2016-2017</v>
      </c>
      <c r="I83" s="132" t="str">
        <f t="shared" si="26"/>
        <v>Forward Estimates     2017-2018</v>
      </c>
      <c r="J83" s="132" t="str">
        <f t="shared" si="26"/>
        <v>Forward Estimates     2018-2019</v>
      </c>
    </row>
    <row r="84" spans="1:10" ht="15" customHeight="1" x14ac:dyDescent="0.2">
      <c r="A84" s="151" t="s">
        <v>7</v>
      </c>
      <c r="B84" s="151"/>
      <c r="C84" s="151"/>
      <c r="D84" s="151"/>
      <c r="E84" s="151"/>
      <c r="F84" s="151"/>
      <c r="G84" s="151"/>
      <c r="H84" s="151"/>
      <c r="I84" s="151"/>
      <c r="J84" s="190"/>
    </row>
    <row r="85" spans="1:10" ht="15" customHeight="1" x14ac:dyDescent="0.2">
      <c r="A85" s="133">
        <v>210</v>
      </c>
      <c r="B85" s="134" t="s">
        <v>7</v>
      </c>
      <c r="C85" s="134"/>
      <c r="D85" s="134"/>
      <c r="E85" s="135">
        <v>596551.01</v>
      </c>
      <c r="F85" s="262">
        <v>555600</v>
      </c>
      <c r="G85" s="135">
        <v>599000</v>
      </c>
      <c r="H85" s="136">
        <v>635600</v>
      </c>
      <c r="I85" s="158">
        <v>641500</v>
      </c>
      <c r="J85" s="158">
        <v>647500</v>
      </c>
    </row>
    <row r="86" spans="1:10" ht="15" customHeight="1" x14ac:dyDescent="0.2">
      <c r="A86" s="133">
        <v>212</v>
      </c>
      <c r="B86" s="134" t="s">
        <v>9</v>
      </c>
      <c r="C86" s="134"/>
      <c r="D86" s="134"/>
      <c r="E86" s="135">
        <v>0</v>
      </c>
      <c r="F86" s="262">
        <v>0</v>
      </c>
      <c r="G86" s="135">
        <v>0</v>
      </c>
      <c r="H86" s="136">
        <v>0</v>
      </c>
      <c r="I86" s="158">
        <v>0</v>
      </c>
      <c r="J86" s="158">
        <v>0</v>
      </c>
    </row>
    <row r="87" spans="1:10" ht="15" customHeight="1" x14ac:dyDescent="0.2">
      <c r="A87" s="133">
        <v>216</v>
      </c>
      <c r="B87" s="134" t="s">
        <v>10</v>
      </c>
      <c r="C87" s="134"/>
      <c r="D87" s="134"/>
      <c r="E87" s="135">
        <v>119720</v>
      </c>
      <c r="F87" s="262">
        <v>121600</v>
      </c>
      <c r="G87" s="135">
        <v>120000</v>
      </c>
      <c r="H87" s="136">
        <v>127600</v>
      </c>
      <c r="I87" s="158">
        <v>121600</v>
      </c>
      <c r="J87" s="158">
        <v>121600</v>
      </c>
    </row>
    <row r="88" spans="1:10" ht="15" customHeight="1" x14ac:dyDescent="0.2">
      <c r="A88" s="133">
        <v>218</v>
      </c>
      <c r="B88" s="134" t="s">
        <v>294</v>
      </c>
      <c r="C88" s="134"/>
      <c r="D88" s="134"/>
      <c r="E88" s="135">
        <v>13762836.4</v>
      </c>
      <c r="F88" s="262">
        <v>12402900</v>
      </c>
      <c r="G88" s="135">
        <v>11902900</v>
      </c>
      <c r="H88" s="136">
        <v>11095800</v>
      </c>
      <c r="I88" s="158">
        <v>11119900</v>
      </c>
      <c r="J88" s="158">
        <v>11119900</v>
      </c>
    </row>
    <row r="89" spans="1:10" x14ac:dyDescent="0.2">
      <c r="A89" s="156" t="s">
        <v>295</v>
      </c>
      <c r="B89" s="156"/>
      <c r="C89" s="156"/>
      <c r="D89" s="156"/>
      <c r="E89" s="157">
        <f t="shared" ref="E89:J89" si="27">SUM(E85:E88)</f>
        <v>14479107.41</v>
      </c>
      <c r="F89" s="157">
        <f t="shared" si="27"/>
        <v>13080100</v>
      </c>
      <c r="G89" s="157">
        <f t="shared" si="27"/>
        <v>12621900</v>
      </c>
      <c r="H89" s="157">
        <f t="shared" si="27"/>
        <v>11859000</v>
      </c>
      <c r="I89" s="157">
        <f t="shared" si="27"/>
        <v>11883000</v>
      </c>
      <c r="J89" s="157">
        <f t="shared" si="27"/>
        <v>11889000</v>
      </c>
    </row>
    <row r="90" spans="1:10" x14ac:dyDescent="0.2">
      <c r="A90" s="156" t="s">
        <v>296</v>
      </c>
      <c r="B90" s="156"/>
      <c r="C90" s="156"/>
      <c r="D90" s="156"/>
      <c r="E90" s="156"/>
      <c r="F90" s="156"/>
      <c r="G90" s="156"/>
      <c r="H90" s="156"/>
      <c r="I90" s="156"/>
      <c r="J90" s="190"/>
    </row>
    <row r="91" spans="1:10" ht="15" customHeight="1" x14ac:dyDescent="0.2">
      <c r="A91" s="133">
        <v>222</v>
      </c>
      <c r="B91" s="134" t="s">
        <v>205</v>
      </c>
      <c r="C91" s="134"/>
      <c r="D91" s="134"/>
      <c r="E91" s="135">
        <v>37274.480000000003</v>
      </c>
      <c r="F91" s="135">
        <v>37700</v>
      </c>
      <c r="G91" s="135">
        <v>76700</v>
      </c>
      <c r="H91" s="136">
        <v>37700</v>
      </c>
      <c r="I91" s="158">
        <v>37700</v>
      </c>
      <c r="J91" s="158">
        <v>37700</v>
      </c>
    </row>
    <row r="92" spans="1:10" ht="15" customHeight="1" x14ac:dyDescent="0.2">
      <c r="A92" s="133">
        <v>224</v>
      </c>
      <c r="B92" s="134" t="s">
        <v>206</v>
      </c>
      <c r="C92" s="134"/>
      <c r="D92" s="134"/>
      <c r="E92" s="135">
        <v>669100</v>
      </c>
      <c r="F92" s="135">
        <v>737000</v>
      </c>
      <c r="G92" s="135">
        <v>735600</v>
      </c>
      <c r="H92" s="136">
        <v>687000</v>
      </c>
      <c r="I92" s="158">
        <v>687000</v>
      </c>
      <c r="J92" s="158">
        <v>687000</v>
      </c>
    </row>
    <row r="93" spans="1:10" ht="15" customHeight="1" x14ac:dyDescent="0.2">
      <c r="A93" s="133">
        <v>226</v>
      </c>
      <c r="B93" s="134" t="s">
        <v>207</v>
      </c>
      <c r="C93" s="134"/>
      <c r="D93" s="134"/>
      <c r="E93" s="135">
        <v>21908.38</v>
      </c>
      <c r="F93" s="135">
        <v>22000</v>
      </c>
      <c r="G93" s="135">
        <v>18000</v>
      </c>
      <c r="H93" s="136">
        <v>22000</v>
      </c>
      <c r="I93" s="158">
        <v>22000</v>
      </c>
      <c r="J93" s="158">
        <v>22000</v>
      </c>
    </row>
    <row r="94" spans="1:10" ht="15" customHeight="1" x14ac:dyDescent="0.2">
      <c r="A94" s="133">
        <v>228</v>
      </c>
      <c r="B94" s="134" t="s">
        <v>208</v>
      </c>
      <c r="C94" s="134"/>
      <c r="D94" s="134"/>
      <c r="E94" s="135">
        <v>18022.95</v>
      </c>
      <c r="F94" s="135">
        <v>20000</v>
      </c>
      <c r="G94" s="135">
        <v>14000</v>
      </c>
      <c r="H94" s="136">
        <v>20000</v>
      </c>
      <c r="I94" s="158">
        <v>20000</v>
      </c>
      <c r="J94" s="158">
        <v>20000</v>
      </c>
    </row>
    <row r="95" spans="1:10" ht="15" customHeight="1" x14ac:dyDescent="0.2">
      <c r="A95" s="133">
        <v>229</v>
      </c>
      <c r="B95" s="134" t="s">
        <v>209</v>
      </c>
      <c r="C95" s="134"/>
      <c r="D95" s="134"/>
      <c r="E95" s="135">
        <v>36299.120000000003</v>
      </c>
      <c r="F95" s="135">
        <v>38100</v>
      </c>
      <c r="G95" s="135">
        <v>118200</v>
      </c>
      <c r="H95" s="136">
        <v>38100</v>
      </c>
      <c r="I95" s="158">
        <v>38100</v>
      </c>
      <c r="J95" s="158">
        <v>38100</v>
      </c>
    </row>
    <row r="96" spans="1:10" ht="15" customHeight="1" x14ac:dyDescent="0.2">
      <c r="A96" s="133">
        <v>230</v>
      </c>
      <c r="B96" s="134" t="s">
        <v>210</v>
      </c>
      <c r="C96" s="134"/>
      <c r="D96" s="134"/>
      <c r="E96" s="135">
        <v>3054</v>
      </c>
      <c r="F96" s="135">
        <v>4500</v>
      </c>
      <c r="G96" s="135">
        <v>1100</v>
      </c>
      <c r="H96" s="136">
        <v>4500</v>
      </c>
      <c r="I96" s="158">
        <v>4500</v>
      </c>
      <c r="J96" s="158">
        <v>4500</v>
      </c>
    </row>
    <row r="97" spans="1:10" ht="15" customHeight="1" x14ac:dyDescent="0.2">
      <c r="A97" s="133">
        <v>232</v>
      </c>
      <c r="B97" s="134" t="s">
        <v>211</v>
      </c>
      <c r="C97" s="134"/>
      <c r="D97" s="134"/>
      <c r="E97" s="135">
        <v>240703.48</v>
      </c>
      <c r="F97" s="135">
        <v>280000</v>
      </c>
      <c r="G97" s="135">
        <v>279700</v>
      </c>
      <c r="H97" s="136">
        <f>280000+170000</f>
        <v>450000</v>
      </c>
      <c r="I97" s="158">
        <f>280000+120000</f>
        <v>400000</v>
      </c>
      <c r="J97" s="158">
        <f>280000+120000</f>
        <v>400000</v>
      </c>
    </row>
    <row r="98" spans="1:10" ht="15" customHeight="1" x14ac:dyDescent="0.2">
      <c r="A98" s="133">
        <v>234</v>
      </c>
      <c r="B98" s="134" t="s">
        <v>212</v>
      </c>
      <c r="C98" s="134"/>
      <c r="D98" s="134"/>
      <c r="E98" s="135">
        <v>334638.65000000002</v>
      </c>
      <c r="F98" s="135">
        <v>372900</v>
      </c>
      <c r="G98" s="135">
        <v>385500</v>
      </c>
      <c r="H98" s="136">
        <v>372900</v>
      </c>
      <c r="I98" s="158">
        <v>372900</v>
      </c>
      <c r="J98" s="158">
        <v>372900</v>
      </c>
    </row>
    <row r="99" spans="1:10" ht="15" customHeight="1" x14ac:dyDescent="0.2">
      <c r="A99" s="133">
        <v>236</v>
      </c>
      <c r="B99" s="134" t="s">
        <v>213</v>
      </c>
      <c r="C99" s="134"/>
      <c r="D99" s="134"/>
      <c r="E99" s="135">
        <v>489891.39</v>
      </c>
      <c r="F99" s="135">
        <v>805000</v>
      </c>
      <c r="G99" s="135">
        <v>739200</v>
      </c>
      <c r="H99" s="136">
        <f>617500+12500</f>
        <v>630000</v>
      </c>
      <c r="I99" s="158">
        <f t="shared" ref="I99:J99" si="28">617500+12500</f>
        <v>630000</v>
      </c>
      <c r="J99" s="158">
        <f t="shared" si="28"/>
        <v>630000</v>
      </c>
    </row>
    <row r="100" spans="1:10" ht="15" customHeight="1" x14ac:dyDescent="0.2">
      <c r="A100" s="133">
        <v>246</v>
      </c>
      <c r="B100" s="134" t="s">
        <v>218</v>
      </c>
      <c r="C100" s="134"/>
      <c r="D100" s="134"/>
      <c r="E100" s="135">
        <v>2617.1999999999998</v>
      </c>
      <c r="F100" s="135">
        <v>5000</v>
      </c>
      <c r="G100" s="135">
        <v>5000</v>
      </c>
      <c r="H100" s="136">
        <v>5000</v>
      </c>
      <c r="I100" s="158">
        <v>5000</v>
      </c>
      <c r="J100" s="158">
        <v>5000</v>
      </c>
    </row>
    <row r="101" spans="1:10" ht="15" customHeight="1" x14ac:dyDescent="0.2">
      <c r="A101" s="133">
        <v>275</v>
      </c>
      <c r="B101" s="134" t="s">
        <v>228</v>
      </c>
      <c r="C101" s="134"/>
      <c r="D101" s="134"/>
      <c r="E101" s="135">
        <v>5351.84</v>
      </c>
      <c r="F101" s="135">
        <v>5500</v>
      </c>
      <c r="G101" s="135">
        <v>4800</v>
      </c>
      <c r="H101" s="136">
        <v>5500</v>
      </c>
      <c r="I101" s="158">
        <v>5500</v>
      </c>
      <c r="J101" s="158">
        <v>5500</v>
      </c>
    </row>
    <row r="102" spans="1:10" x14ac:dyDescent="0.2">
      <c r="A102" s="156" t="s">
        <v>298</v>
      </c>
      <c r="B102" s="156"/>
      <c r="C102" s="156"/>
      <c r="D102" s="156"/>
      <c r="E102" s="157">
        <f t="shared" ref="E102:J102" si="29">SUM(E91:E101)</f>
        <v>1858861.4900000002</v>
      </c>
      <c r="F102" s="264">
        <f t="shared" si="29"/>
        <v>2327700</v>
      </c>
      <c r="G102" s="157">
        <f t="shared" si="29"/>
        <v>2377800</v>
      </c>
      <c r="H102" s="157">
        <f>SUM(H91:H101)</f>
        <v>2272700</v>
      </c>
      <c r="I102" s="157">
        <f t="shared" si="29"/>
        <v>2222700</v>
      </c>
      <c r="J102" s="157">
        <f t="shared" si="29"/>
        <v>2222700</v>
      </c>
    </row>
    <row r="103" spans="1:10" x14ac:dyDescent="0.2">
      <c r="A103" s="159" t="s">
        <v>299</v>
      </c>
      <c r="B103" s="159"/>
      <c r="C103" s="159"/>
      <c r="D103" s="159"/>
      <c r="E103" s="160">
        <f t="shared" ref="E103:J103" si="30">SUM(E89,E102)</f>
        <v>16337968.9</v>
      </c>
      <c r="F103" s="160">
        <f t="shared" si="30"/>
        <v>15407800</v>
      </c>
      <c r="G103" s="160">
        <f t="shared" si="30"/>
        <v>14999700</v>
      </c>
      <c r="H103" s="160">
        <f t="shared" si="30"/>
        <v>14131700</v>
      </c>
      <c r="I103" s="160">
        <f t="shared" si="30"/>
        <v>14105700</v>
      </c>
      <c r="J103" s="160">
        <f t="shared" si="30"/>
        <v>14111700</v>
      </c>
    </row>
    <row r="104" spans="1:10" x14ac:dyDescent="0.2">
      <c r="A104" s="129"/>
      <c r="B104" s="129"/>
      <c r="C104" s="129"/>
      <c r="D104" s="129"/>
      <c r="E104" s="129"/>
      <c r="F104" s="129"/>
      <c r="G104" s="129"/>
      <c r="H104" s="129"/>
      <c r="I104" s="129"/>
      <c r="J104" s="190"/>
    </row>
    <row r="105" spans="1:10" ht="18" customHeight="1" x14ac:dyDescent="0.2">
      <c r="A105" s="162" t="s">
        <v>15</v>
      </c>
      <c r="B105" s="162"/>
      <c r="C105" s="162"/>
      <c r="D105" s="162"/>
      <c r="E105" s="162"/>
      <c r="F105" s="162"/>
      <c r="G105" s="162"/>
      <c r="H105" s="162"/>
      <c r="I105" s="162"/>
      <c r="J105" s="162"/>
    </row>
    <row r="106" spans="1:10" ht="18.75" customHeight="1" x14ac:dyDescent="0.2">
      <c r="A106" s="131" t="s">
        <v>242</v>
      </c>
      <c r="B106" s="131"/>
      <c r="C106" s="131"/>
      <c r="D106" s="131"/>
      <c r="E106" s="128" t="str">
        <f t="shared" ref="E106:J106" si="31">E34</f>
        <v>Actuals           2014-2015</v>
      </c>
      <c r="F106" s="128" t="str">
        <f t="shared" si="31"/>
        <v>Approved Estimates          2015-2016</v>
      </c>
      <c r="G106" s="128" t="str">
        <f t="shared" si="31"/>
        <v>Revised Estimates                 2015-2016</v>
      </c>
      <c r="H106" s="128" t="str">
        <f t="shared" si="31"/>
        <v>Budget Estimates      2016-2017</v>
      </c>
      <c r="I106" s="128" t="str">
        <f t="shared" si="31"/>
        <v>Forward Estimates     2017-2018</v>
      </c>
      <c r="J106" s="128" t="str">
        <f t="shared" si="31"/>
        <v>Forward Estimates     2018-2019</v>
      </c>
    </row>
    <row r="107" spans="1:10" x14ac:dyDescent="0.2">
      <c r="A107" s="130" t="s">
        <v>243</v>
      </c>
      <c r="B107" s="130" t="s">
        <v>244</v>
      </c>
      <c r="C107" s="131" t="s">
        <v>245</v>
      </c>
      <c r="D107" s="131"/>
      <c r="E107" s="101"/>
      <c r="F107" s="101"/>
      <c r="G107" s="101"/>
      <c r="H107" s="101"/>
      <c r="I107" s="101"/>
      <c r="J107" s="101"/>
    </row>
    <row r="108" spans="1:10" x14ac:dyDescent="0.2">
      <c r="A108" s="335" t="s">
        <v>632</v>
      </c>
      <c r="B108" s="144" t="s">
        <v>633</v>
      </c>
      <c r="C108" s="334" t="s">
        <v>634</v>
      </c>
      <c r="D108" s="334"/>
      <c r="E108" s="158">
        <v>536700</v>
      </c>
      <c r="F108" s="209">
        <v>0</v>
      </c>
      <c r="G108" s="158">
        <v>1772700</v>
      </c>
      <c r="H108" s="136">
        <v>2000000</v>
      </c>
      <c r="I108" s="158">
        <v>0</v>
      </c>
      <c r="J108" s="135">
        <v>0</v>
      </c>
    </row>
    <row r="109" spans="1:10" x14ac:dyDescent="0.2">
      <c r="A109" s="335" t="s">
        <v>635</v>
      </c>
      <c r="B109" s="144" t="s">
        <v>633</v>
      </c>
      <c r="C109" s="334" t="s">
        <v>636</v>
      </c>
      <c r="D109" s="334"/>
      <c r="E109" s="158">
        <v>34800</v>
      </c>
      <c r="F109" s="209">
        <v>0</v>
      </c>
      <c r="G109" s="158">
        <v>203600</v>
      </c>
      <c r="H109" s="136">
        <v>300000</v>
      </c>
      <c r="I109" s="158">
        <v>0</v>
      </c>
      <c r="J109" s="135">
        <v>0</v>
      </c>
    </row>
    <row r="110" spans="1:10" x14ac:dyDescent="0.2">
      <c r="A110" s="335" t="s">
        <v>637</v>
      </c>
      <c r="B110" s="144" t="s">
        <v>633</v>
      </c>
      <c r="C110" s="334" t="s">
        <v>638</v>
      </c>
      <c r="D110" s="334"/>
      <c r="E110" s="158">
        <v>12700</v>
      </c>
      <c r="F110" s="209">
        <v>0</v>
      </c>
      <c r="G110" s="158">
        <v>0</v>
      </c>
      <c r="H110" s="136">
        <v>180800</v>
      </c>
      <c r="I110" s="158">
        <v>0</v>
      </c>
      <c r="J110" s="135">
        <v>0</v>
      </c>
    </row>
    <row r="111" spans="1:10" x14ac:dyDescent="0.2">
      <c r="A111" s="137" t="s">
        <v>15</v>
      </c>
      <c r="B111" s="137"/>
      <c r="C111" s="137"/>
      <c r="D111" s="137"/>
      <c r="E111" s="138">
        <f t="shared" ref="E111:J111" si="32">SUM(E108:E110)</f>
        <v>584200</v>
      </c>
      <c r="F111" s="138">
        <f t="shared" si="32"/>
        <v>0</v>
      </c>
      <c r="G111" s="138">
        <f t="shared" si="32"/>
        <v>1976300</v>
      </c>
      <c r="H111" s="138">
        <f t="shared" si="32"/>
        <v>2480800</v>
      </c>
      <c r="I111" s="138">
        <f t="shared" si="32"/>
        <v>0</v>
      </c>
      <c r="J111" s="138">
        <f t="shared" si="32"/>
        <v>0</v>
      </c>
    </row>
    <row r="112" spans="1:10" ht="15" customHeight="1" x14ac:dyDescent="0.2">
      <c r="A112" s="290"/>
      <c r="B112" s="290"/>
      <c r="C112" s="290"/>
      <c r="D112" s="290"/>
      <c r="E112" s="290"/>
      <c r="F112" s="290"/>
      <c r="G112" s="290"/>
      <c r="H112" s="290"/>
      <c r="I112" s="290"/>
      <c r="J112" s="290"/>
    </row>
    <row r="113" spans="1:10" x14ac:dyDescent="0.2">
      <c r="A113" s="161" t="s">
        <v>288</v>
      </c>
      <c r="B113" s="161"/>
      <c r="C113" s="161"/>
      <c r="D113" s="161"/>
      <c r="E113" s="161"/>
      <c r="F113" s="202"/>
      <c r="G113" s="202"/>
      <c r="H113" s="202"/>
      <c r="I113" s="202"/>
      <c r="J113" s="202"/>
    </row>
    <row r="114" spans="1:10" ht="15" customHeight="1" x14ac:dyDescent="0.2">
      <c r="A114" s="131" t="s">
        <v>300</v>
      </c>
      <c r="B114" s="131"/>
      <c r="C114" s="131"/>
      <c r="D114" s="132" t="s">
        <v>301</v>
      </c>
      <c r="E114" s="291" t="s">
        <v>302</v>
      </c>
      <c r="F114" s="131" t="s">
        <v>300</v>
      </c>
      <c r="G114" s="131"/>
      <c r="H114" s="131"/>
      <c r="I114" s="132" t="s">
        <v>301</v>
      </c>
      <c r="J114" s="132" t="s">
        <v>302</v>
      </c>
    </row>
    <row r="115" spans="1:10" ht="24" customHeight="1" x14ac:dyDescent="0.2">
      <c r="A115" s="134" t="str">
        <f>Establishment!D90</f>
        <v>Deputy Governor</v>
      </c>
      <c r="B115" s="134"/>
      <c r="C115" s="134"/>
      <c r="D115" s="133" t="str">
        <f>Establishment!E90</f>
        <v>R1</v>
      </c>
      <c r="E115" s="268">
        <f>Establishment!C90</f>
        <v>1</v>
      </c>
      <c r="F115" s="134" t="str">
        <f>Establishment!D94</f>
        <v>Building &amp; Security Officer/Facilities Manager</v>
      </c>
      <c r="G115" s="134"/>
      <c r="H115" s="134"/>
      <c r="I115" s="133" t="str">
        <f>Establishment!E94</f>
        <v>R31-28</v>
      </c>
      <c r="J115" s="133">
        <f>Establishment!C94</f>
        <v>1</v>
      </c>
    </row>
    <row r="116" spans="1:10" ht="15" customHeight="1" x14ac:dyDescent="0.2">
      <c r="A116" s="134" t="str">
        <f>Establishment!D91</f>
        <v>Head, ODG</v>
      </c>
      <c r="B116" s="134"/>
      <c r="C116" s="134"/>
      <c r="D116" s="133" t="str">
        <f>Establishment!E91</f>
        <v>R14-10</v>
      </c>
      <c r="E116" s="268">
        <f>Establishment!C91</f>
        <v>1</v>
      </c>
      <c r="F116" s="134" t="str">
        <f>Establishment!D95</f>
        <v>Clerical Officer (Snr)</v>
      </c>
      <c r="G116" s="134"/>
      <c r="H116" s="134"/>
      <c r="I116" s="133" t="str">
        <f>Establishment!E95</f>
        <v>R33-29</v>
      </c>
      <c r="J116" s="133">
        <f>Establishment!C95</f>
        <v>1</v>
      </c>
    </row>
    <row r="117" spans="1:10" ht="15" customHeight="1" x14ac:dyDescent="0.2">
      <c r="A117" s="134" t="str">
        <f>Establishment!D92</f>
        <v>Assistant Secretary</v>
      </c>
      <c r="B117" s="134"/>
      <c r="C117" s="134"/>
      <c r="D117" s="133" t="str">
        <f>Establishment!E92</f>
        <v>R22-16</v>
      </c>
      <c r="E117" s="268">
        <f>Establishment!C92</f>
        <v>2</v>
      </c>
      <c r="F117" s="134" t="str">
        <f>Establishment!D96</f>
        <v>Consular Assistant</v>
      </c>
      <c r="G117" s="134"/>
      <c r="H117" s="134"/>
      <c r="I117" s="133" t="str">
        <f>Establishment!E96</f>
        <v>R46-34</v>
      </c>
      <c r="J117" s="133">
        <f>Establishment!C96</f>
        <v>1</v>
      </c>
    </row>
    <row r="118" spans="1:10" ht="14.25" customHeight="1" x14ac:dyDescent="0.2">
      <c r="A118" s="134" t="str">
        <f>Establishment!D93</f>
        <v>Executive Officer</v>
      </c>
      <c r="B118" s="134"/>
      <c r="C118" s="134"/>
      <c r="D118" s="133" t="str">
        <f>Establishment!E93</f>
        <v>R28-22</v>
      </c>
      <c r="E118" s="268">
        <f>Establishment!C93</f>
        <v>3</v>
      </c>
      <c r="F118" s="134"/>
      <c r="G118" s="134"/>
      <c r="H118" s="134"/>
      <c r="I118" s="133"/>
      <c r="J118" s="133"/>
    </row>
    <row r="119" spans="1:10" ht="14.25" customHeight="1" x14ac:dyDescent="0.2">
      <c r="A119" s="203" t="s">
        <v>303</v>
      </c>
      <c r="B119" s="203"/>
      <c r="C119" s="203"/>
      <c r="D119" s="203"/>
      <c r="E119" s="203"/>
      <c r="F119" s="203"/>
      <c r="G119" s="203"/>
      <c r="H119" s="203"/>
      <c r="I119" s="203"/>
      <c r="J119" s="204">
        <f>SUM(E115:E118,J115:J118)</f>
        <v>10</v>
      </c>
    </row>
    <row r="120" spans="1:10" x14ac:dyDescent="0.2">
      <c r="A120" s="129"/>
      <c r="B120" s="129"/>
      <c r="C120" s="129"/>
      <c r="D120" s="129"/>
      <c r="E120" s="129"/>
      <c r="F120" s="179"/>
      <c r="G120" s="179"/>
      <c r="H120" s="179"/>
      <c r="I120" s="179"/>
      <c r="J120" s="179"/>
    </row>
    <row r="121" spans="1:10" x14ac:dyDescent="0.2">
      <c r="A121" s="180" t="s">
        <v>304</v>
      </c>
      <c r="B121" s="180"/>
      <c r="C121" s="180"/>
      <c r="D121" s="180"/>
      <c r="E121" s="180"/>
      <c r="F121" s="180"/>
      <c r="G121" s="180"/>
      <c r="H121" s="180"/>
      <c r="I121" s="180"/>
      <c r="J121" s="180"/>
    </row>
    <row r="122" spans="1:10" x14ac:dyDescent="0.2">
      <c r="A122" s="181" t="s">
        <v>305</v>
      </c>
      <c r="B122" s="181"/>
      <c r="C122" s="181"/>
      <c r="D122" s="181"/>
      <c r="E122" s="181"/>
      <c r="F122" s="181"/>
      <c r="G122" s="181"/>
      <c r="H122" s="181"/>
      <c r="I122" s="181"/>
      <c r="J122" s="181"/>
    </row>
    <row r="123" spans="1:10" ht="25.5" customHeight="1" x14ac:dyDescent="0.2">
      <c r="A123" s="336" t="s">
        <v>639</v>
      </c>
      <c r="B123" s="337"/>
      <c r="C123" s="337"/>
      <c r="D123" s="337"/>
      <c r="E123" s="337"/>
      <c r="F123" s="337"/>
      <c r="G123" s="337"/>
      <c r="H123" s="337"/>
      <c r="I123" s="337"/>
      <c r="J123" s="338"/>
    </row>
    <row r="124" spans="1:10" ht="26.25" customHeight="1" x14ac:dyDescent="0.2">
      <c r="A124" s="336" t="s">
        <v>640</v>
      </c>
      <c r="B124" s="337"/>
      <c r="C124" s="337"/>
      <c r="D124" s="337"/>
      <c r="E124" s="337"/>
      <c r="F124" s="337"/>
      <c r="G124" s="337"/>
      <c r="H124" s="337"/>
      <c r="I124" s="337"/>
      <c r="J124" s="338"/>
    </row>
    <row r="125" spans="1:10" x14ac:dyDescent="0.2">
      <c r="A125" s="336" t="s">
        <v>641</v>
      </c>
      <c r="B125" s="337"/>
      <c r="C125" s="337"/>
      <c r="D125" s="337"/>
      <c r="E125" s="337"/>
      <c r="F125" s="337"/>
      <c r="G125" s="337"/>
      <c r="H125" s="337"/>
      <c r="I125" s="337"/>
      <c r="J125" s="338"/>
    </row>
    <row r="126" spans="1:10" ht="24.75" customHeight="1" x14ac:dyDescent="0.2">
      <c r="A126" s="336" t="s">
        <v>642</v>
      </c>
      <c r="B126" s="337"/>
      <c r="C126" s="337"/>
      <c r="D126" s="337"/>
      <c r="E126" s="337"/>
      <c r="F126" s="337"/>
      <c r="G126" s="337"/>
      <c r="H126" s="337"/>
      <c r="I126" s="337"/>
      <c r="J126" s="338"/>
    </row>
    <row r="127" spans="1:10" ht="23.25" customHeight="1" x14ac:dyDescent="0.2">
      <c r="A127" s="336" t="s">
        <v>643</v>
      </c>
      <c r="B127" s="337"/>
      <c r="C127" s="337"/>
      <c r="D127" s="337"/>
      <c r="E127" s="337"/>
      <c r="F127" s="337"/>
      <c r="G127" s="337"/>
      <c r="H127" s="337"/>
      <c r="I127" s="337"/>
      <c r="J127" s="338"/>
    </row>
    <row r="128" spans="1:10" ht="24" customHeight="1" x14ac:dyDescent="0.2">
      <c r="A128" s="336" t="s">
        <v>644</v>
      </c>
      <c r="B128" s="337"/>
      <c r="C128" s="337"/>
      <c r="D128" s="337"/>
      <c r="E128" s="337"/>
      <c r="F128" s="337"/>
      <c r="G128" s="337"/>
      <c r="H128" s="337"/>
      <c r="I128" s="337"/>
      <c r="J128" s="338"/>
    </row>
    <row r="129" spans="1:10" ht="24" customHeight="1" x14ac:dyDescent="0.2">
      <c r="A129" s="336" t="s">
        <v>645</v>
      </c>
      <c r="B129" s="337"/>
      <c r="C129" s="337"/>
      <c r="D129" s="337"/>
      <c r="E129" s="337"/>
      <c r="F129" s="337"/>
      <c r="G129" s="337"/>
      <c r="H129" s="337"/>
      <c r="I129" s="337"/>
      <c r="J129" s="338"/>
    </row>
    <row r="130" spans="1:10" ht="22.5" customHeight="1" x14ac:dyDescent="0.2">
      <c r="A130" s="336" t="s">
        <v>646</v>
      </c>
      <c r="B130" s="337"/>
      <c r="C130" s="337"/>
      <c r="D130" s="337"/>
      <c r="E130" s="337"/>
      <c r="F130" s="337"/>
      <c r="G130" s="337"/>
      <c r="H130" s="337"/>
      <c r="I130" s="337"/>
      <c r="J130" s="338"/>
    </row>
    <row r="131" spans="1:10" x14ac:dyDescent="0.2">
      <c r="A131" s="307" t="s">
        <v>647</v>
      </c>
      <c r="B131" s="308"/>
      <c r="C131" s="308"/>
      <c r="D131" s="308"/>
      <c r="E131" s="308"/>
      <c r="F131" s="308"/>
      <c r="G131" s="308"/>
      <c r="H131" s="308"/>
      <c r="I131" s="308"/>
      <c r="J131" s="309"/>
    </row>
    <row r="132" spans="1:10" x14ac:dyDescent="0.2">
      <c r="A132" s="336"/>
      <c r="B132" s="337"/>
      <c r="C132" s="337"/>
      <c r="D132" s="337"/>
      <c r="E132" s="337"/>
      <c r="F132" s="337"/>
      <c r="G132" s="337"/>
      <c r="H132" s="337"/>
      <c r="I132" s="337"/>
      <c r="J132" s="338"/>
    </row>
    <row r="133" spans="1:10" x14ac:dyDescent="0.2">
      <c r="A133" s="339" t="s">
        <v>415</v>
      </c>
      <c r="B133" s="339"/>
      <c r="C133" s="339"/>
      <c r="D133" s="339"/>
      <c r="E133" s="339"/>
      <c r="F133" s="339"/>
      <c r="G133" s="339"/>
      <c r="H133" s="339"/>
      <c r="I133" s="339"/>
      <c r="J133" s="339"/>
    </row>
    <row r="134" spans="1:10" x14ac:dyDescent="0.2">
      <c r="A134" s="129" t="s">
        <v>648</v>
      </c>
      <c r="B134" s="129"/>
      <c r="C134" s="129"/>
      <c r="D134" s="129"/>
      <c r="E134" s="129"/>
      <c r="F134" s="129"/>
      <c r="G134" s="129"/>
      <c r="H134" s="129"/>
      <c r="I134" s="129"/>
      <c r="J134" s="129"/>
    </row>
    <row r="135" spans="1:10" x14ac:dyDescent="0.2">
      <c r="A135" s="129" t="s">
        <v>649</v>
      </c>
      <c r="B135" s="129"/>
      <c r="C135" s="129"/>
      <c r="D135" s="129"/>
      <c r="E135" s="129"/>
      <c r="F135" s="129"/>
      <c r="G135" s="129"/>
      <c r="H135" s="129"/>
      <c r="I135" s="129"/>
      <c r="J135" s="129"/>
    </row>
    <row r="136" spans="1:10" x14ac:dyDescent="0.2">
      <c r="A136" s="129"/>
      <c r="B136" s="129"/>
      <c r="C136" s="129"/>
      <c r="D136" s="129"/>
      <c r="E136" s="129"/>
      <c r="F136" s="129"/>
      <c r="G136" s="129"/>
      <c r="H136" s="129"/>
      <c r="I136" s="129"/>
      <c r="J136" s="129"/>
    </row>
    <row r="137" spans="1:10" ht="21.75" customHeight="1" x14ac:dyDescent="0.2">
      <c r="A137" s="180" t="s">
        <v>315</v>
      </c>
      <c r="B137" s="180"/>
      <c r="C137" s="180"/>
      <c r="D137" s="180"/>
      <c r="E137" s="180"/>
      <c r="F137" s="184" t="s">
        <v>2995</v>
      </c>
      <c r="G137" s="184" t="s">
        <v>2996</v>
      </c>
      <c r="H137" s="184" t="s">
        <v>2997</v>
      </c>
      <c r="I137" s="184" t="s">
        <v>2998</v>
      </c>
      <c r="J137" s="184" t="s">
        <v>2999</v>
      </c>
    </row>
    <row r="138" spans="1:10" x14ac:dyDescent="0.2">
      <c r="A138" s="180" t="s">
        <v>316</v>
      </c>
      <c r="B138" s="180"/>
      <c r="C138" s="180"/>
      <c r="D138" s="180"/>
      <c r="E138" s="180"/>
      <c r="F138" s="180"/>
      <c r="G138" s="180"/>
      <c r="H138" s="180"/>
      <c r="I138" s="180"/>
      <c r="J138" s="180"/>
    </row>
    <row r="139" spans="1:10" ht="14.25" customHeight="1" x14ac:dyDescent="0.2">
      <c r="A139" s="340" t="s">
        <v>650</v>
      </c>
      <c r="B139" s="340"/>
      <c r="C139" s="340"/>
      <c r="D139" s="340"/>
      <c r="E139" s="341"/>
      <c r="F139" s="273"/>
      <c r="G139" s="190"/>
      <c r="H139" s="272">
        <v>10</v>
      </c>
      <c r="I139" s="272" t="s">
        <v>651</v>
      </c>
      <c r="J139" s="272" t="s">
        <v>651</v>
      </c>
    </row>
    <row r="140" spans="1:10" ht="14.25" customHeight="1" x14ac:dyDescent="0.2">
      <c r="A140" s="340" t="s">
        <v>652</v>
      </c>
      <c r="B140" s="340"/>
      <c r="C140" s="340"/>
      <c r="D140" s="340"/>
      <c r="E140" s="341"/>
      <c r="F140" s="273"/>
      <c r="G140" s="190"/>
      <c r="H140" s="272">
        <v>5</v>
      </c>
      <c r="I140" s="272" t="s">
        <v>651</v>
      </c>
      <c r="J140" s="272" t="s">
        <v>651</v>
      </c>
    </row>
    <row r="141" spans="1:10" x14ac:dyDescent="0.2">
      <c r="A141" s="340" t="s">
        <v>653</v>
      </c>
      <c r="B141" s="340"/>
      <c r="C141" s="340"/>
      <c r="D141" s="340"/>
      <c r="E141" s="341"/>
      <c r="F141" s="273"/>
      <c r="G141" s="190"/>
      <c r="H141" s="272">
        <v>5</v>
      </c>
      <c r="I141" s="272" t="s">
        <v>651</v>
      </c>
      <c r="J141" s="272" t="s">
        <v>651</v>
      </c>
    </row>
    <row r="142" spans="1:10" ht="14.25" customHeight="1" x14ac:dyDescent="0.2">
      <c r="A142" s="340" t="s">
        <v>654</v>
      </c>
      <c r="B142" s="340"/>
      <c r="C142" s="340"/>
      <c r="D142" s="340"/>
      <c r="E142" s="341"/>
      <c r="F142" s="273"/>
      <c r="G142" s="190"/>
      <c r="H142" s="272">
        <v>1</v>
      </c>
      <c r="I142" s="272" t="s">
        <v>651</v>
      </c>
      <c r="J142" s="272" t="s">
        <v>651</v>
      </c>
    </row>
    <row r="143" spans="1:10" ht="14.25" customHeight="1" x14ac:dyDescent="0.2">
      <c r="A143" s="340" t="s">
        <v>655</v>
      </c>
      <c r="B143" s="340"/>
      <c r="C143" s="340"/>
      <c r="D143" s="340"/>
      <c r="E143" s="341"/>
      <c r="F143" s="273"/>
      <c r="G143" s="190"/>
      <c r="H143" s="272">
        <v>1</v>
      </c>
      <c r="I143" s="272" t="s">
        <v>651</v>
      </c>
      <c r="J143" s="272" t="s">
        <v>651</v>
      </c>
    </row>
    <row r="144" spans="1:10" ht="14.25" customHeight="1" x14ac:dyDescent="0.2">
      <c r="A144" s="340" t="s">
        <v>656</v>
      </c>
      <c r="B144" s="340"/>
      <c r="C144" s="340"/>
      <c r="D144" s="340"/>
      <c r="E144" s="341"/>
      <c r="F144" s="273"/>
      <c r="G144" s="190"/>
      <c r="H144" s="272">
        <v>50</v>
      </c>
      <c r="I144" s="272" t="s">
        <v>651</v>
      </c>
      <c r="J144" s="272" t="s">
        <v>651</v>
      </c>
    </row>
    <row r="145" spans="1:10" ht="14.25" customHeight="1" x14ac:dyDescent="0.2">
      <c r="A145" s="340" t="s">
        <v>657</v>
      </c>
      <c r="B145" s="340"/>
      <c r="C145" s="340"/>
      <c r="D145" s="340"/>
      <c r="E145" s="341"/>
      <c r="F145" s="273"/>
      <c r="G145" s="190"/>
      <c r="H145" s="272" t="s">
        <v>658</v>
      </c>
      <c r="I145" s="272" t="s">
        <v>658</v>
      </c>
      <c r="J145" s="272" t="s">
        <v>658</v>
      </c>
    </row>
    <row r="146" spans="1:10" ht="14.25" customHeight="1" x14ac:dyDescent="0.2">
      <c r="A146" s="340" t="s">
        <v>659</v>
      </c>
      <c r="B146" s="340"/>
      <c r="C146" s="340"/>
      <c r="D146" s="340"/>
      <c r="E146" s="341"/>
      <c r="F146" s="273"/>
      <c r="G146" s="190"/>
      <c r="H146" s="272" t="s">
        <v>572</v>
      </c>
      <c r="I146" s="272" t="s">
        <v>651</v>
      </c>
      <c r="J146" s="272" t="s">
        <v>651</v>
      </c>
    </row>
    <row r="147" spans="1:10" x14ac:dyDescent="0.2">
      <c r="A147" s="342" t="s">
        <v>660</v>
      </c>
      <c r="B147" s="342"/>
      <c r="C147" s="342"/>
      <c r="D147" s="342"/>
      <c r="E147" s="342"/>
      <c r="F147" s="273"/>
      <c r="G147" s="190"/>
      <c r="H147" s="190"/>
      <c r="I147" s="190"/>
      <c r="J147" s="190"/>
    </row>
    <row r="148" spans="1:10" ht="24.75" customHeight="1" x14ac:dyDescent="0.2">
      <c r="A148" s="180" t="s">
        <v>324</v>
      </c>
      <c r="B148" s="180"/>
      <c r="C148" s="180"/>
      <c r="D148" s="180"/>
      <c r="E148" s="180"/>
      <c r="F148" s="180"/>
      <c r="G148" s="180"/>
      <c r="H148" s="180"/>
      <c r="I148" s="180"/>
      <c r="J148" s="180"/>
    </row>
    <row r="149" spans="1:10" ht="14.25" customHeight="1" x14ac:dyDescent="0.2">
      <c r="A149" s="340" t="s">
        <v>661</v>
      </c>
      <c r="B149" s="340"/>
      <c r="C149" s="340"/>
      <c r="D149" s="340"/>
      <c r="E149" s="341"/>
      <c r="F149" s="273"/>
      <c r="G149" s="190"/>
      <c r="H149" s="270" t="s">
        <v>658</v>
      </c>
      <c r="I149" s="270" t="s">
        <v>658</v>
      </c>
      <c r="J149" s="270" t="s">
        <v>658</v>
      </c>
    </row>
    <row r="150" spans="1:10" ht="24" customHeight="1" x14ac:dyDescent="0.2">
      <c r="A150" s="340" t="s">
        <v>662</v>
      </c>
      <c r="B150" s="340"/>
      <c r="C150" s="340"/>
      <c r="D150" s="340"/>
      <c r="E150" s="341"/>
      <c r="F150" s="273"/>
      <c r="G150" s="190"/>
      <c r="H150" s="270">
        <v>0.75</v>
      </c>
      <c r="I150" s="270" t="s">
        <v>651</v>
      </c>
      <c r="J150" s="270" t="s">
        <v>651</v>
      </c>
    </row>
    <row r="151" spans="1:10" ht="14.25" customHeight="1" x14ac:dyDescent="0.2">
      <c r="A151" s="340" t="s">
        <v>663</v>
      </c>
      <c r="B151" s="340"/>
      <c r="C151" s="340"/>
      <c r="D151" s="340"/>
      <c r="E151" s="341"/>
      <c r="F151" s="273"/>
      <c r="G151" s="190"/>
      <c r="H151" s="270">
        <v>0.75</v>
      </c>
      <c r="I151" s="270" t="s">
        <v>651</v>
      </c>
      <c r="J151" s="270" t="s">
        <v>651</v>
      </c>
    </row>
    <row r="152" spans="1:10" x14ac:dyDescent="0.2">
      <c r="A152" s="340" t="s">
        <v>664</v>
      </c>
      <c r="B152" s="340"/>
      <c r="C152" s="340"/>
      <c r="D152" s="340"/>
      <c r="E152" s="341"/>
      <c r="F152" s="286"/>
      <c r="G152" s="190"/>
      <c r="H152" s="270">
        <v>1</v>
      </c>
      <c r="I152" s="270">
        <v>1</v>
      </c>
      <c r="J152" s="270">
        <v>1</v>
      </c>
    </row>
    <row r="153" spans="1:10" ht="14.25" customHeight="1" x14ac:dyDescent="0.2">
      <c r="A153" s="340" t="s">
        <v>665</v>
      </c>
      <c r="B153" s="340"/>
      <c r="C153" s="340"/>
      <c r="D153" s="340"/>
      <c r="E153" s="341"/>
      <c r="F153" s="273"/>
      <c r="G153" s="190"/>
      <c r="H153" s="270">
        <v>0.8</v>
      </c>
      <c r="I153" s="270" t="s">
        <v>651</v>
      </c>
      <c r="J153" s="270" t="s">
        <v>651</v>
      </c>
    </row>
    <row r="154" spans="1:10" ht="14.25" customHeight="1" x14ac:dyDescent="0.2">
      <c r="A154" s="340" t="s">
        <v>666</v>
      </c>
      <c r="B154" s="340"/>
      <c r="C154" s="340"/>
      <c r="D154" s="340"/>
      <c r="E154" s="341"/>
      <c r="F154" s="273"/>
      <c r="G154" s="190"/>
      <c r="H154" s="270">
        <v>0.8</v>
      </c>
      <c r="I154" s="270" t="s">
        <v>651</v>
      </c>
      <c r="J154" s="270" t="s">
        <v>651</v>
      </c>
    </row>
    <row r="155" spans="1:10" ht="14.25" customHeight="1" x14ac:dyDescent="0.2">
      <c r="A155" s="340" t="s">
        <v>667</v>
      </c>
      <c r="B155" s="340"/>
      <c r="C155" s="340"/>
      <c r="D155" s="340"/>
      <c r="E155" s="341"/>
      <c r="F155" s="273"/>
      <c r="G155" s="190"/>
      <c r="H155" s="270">
        <v>1</v>
      </c>
      <c r="I155" s="270">
        <v>1</v>
      </c>
      <c r="J155" s="270">
        <v>1</v>
      </c>
    </row>
    <row r="156" spans="1:10" x14ac:dyDescent="0.2">
      <c r="A156" s="129"/>
      <c r="B156" s="129"/>
      <c r="C156" s="129"/>
      <c r="D156" s="129"/>
      <c r="E156" s="129"/>
      <c r="F156" s="129"/>
      <c r="G156" s="129"/>
      <c r="H156" s="129"/>
      <c r="I156" s="129"/>
      <c r="J156" s="129"/>
    </row>
    <row r="157" spans="1:10" ht="15" customHeight="1" x14ac:dyDescent="0.2">
      <c r="A157" s="150" t="s">
        <v>668</v>
      </c>
      <c r="B157" s="150"/>
      <c r="C157" s="150"/>
      <c r="D157" s="150"/>
      <c r="E157" s="150"/>
      <c r="F157" s="150"/>
      <c r="G157" s="150"/>
      <c r="H157" s="150"/>
      <c r="I157" s="150"/>
      <c r="J157" s="150"/>
    </row>
    <row r="158" spans="1:10" ht="15" customHeight="1" x14ac:dyDescent="0.2">
      <c r="A158" s="151" t="s">
        <v>291</v>
      </c>
      <c r="B158" s="151"/>
      <c r="C158" s="151"/>
      <c r="D158" s="101"/>
      <c r="E158" s="101"/>
      <c r="F158" s="101"/>
      <c r="G158" s="101"/>
      <c r="H158" s="101"/>
      <c r="I158" s="101"/>
      <c r="J158" s="101"/>
    </row>
    <row r="159" spans="1:10" ht="22.5" customHeight="1" x14ac:dyDescent="0.2">
      <c r="A159" s="188" t="s">
        <v>669</v>
      </c>
      <c r="B159" s="188"/>
      <c r="C159" s="188"/>
      <c r="D159" s="188"/>
      <c r="E159" s="188"/>
      <c r="F159" s="188"/>
      <c r="G159" s="188"/>
      <c r="H159" s="188"/>
      <c r="I159" s="188"/>
      <c r="J159" s="188"/>
    </row>
    <row r="160" spans="1:10" x14ac:dyDescent="0.2">
      <c r="A160" s="129"/>
      <c r="B160" s="129"/>
      <c r="C160" s="129"/>
      <c r="D160" s="129"/>
      <c r="E160" s="129"/>
      <c r="F160" s="129"/>
      <c r="G160" s="129"/>
      <c r="H160" s="129"/>
      <c r="I160" s="129"/>
      <c r="J160" s="129"/>
    </row>
    <row r="161" spans="1:10" x14ac:dyDescent="0.2">
      <c r="A161" s="128" t="s">
        <v>293</v>
      </c>
      <c r="B161" s="128"/>
      <c r="C161" s="128"/>
      <c r="D161" s="128"/>
      <c r="E161" s="128"/>
      <c r="F161" s="128"/>
      <c r="G161" s="128"/>
      <c r="H161" s="128"/>
      <c r="I161" s="128"/>
      <c r="J161" s="128"/>
    </row>
    <row r="162" spans="1:10" ht="33.75" x14ac:dyDescent="0.2">
      <c r="A162" s="152" t="s">
        <v>243</v>
      </c>
      <c r="B162" s="151" t="s">
        <v>242</v>
      </c>
      <c r="C162" s="151"/>
      <c r="D162" s="151"/>
      <c r="E162" s="132" t="str">
        <f t="shared" ref="E162:J162" si="33">E34</f>
        <v>Actuals           2014-2015</v>
      </c>
      <c r="F162" s="132" t="str">
        <f t="shared" si="33"/>
        <v>Approved Estimates          2015-2016</v>
      </c>
      <c r="G162" s="132" t="str">
        <f t="shared" si="33"/>
        <v>Revised Estimates                 2015-2016</v>
      </c>
      <c r="H162" s="132" t="str">
        <f t="shared" si="33"/>
        <v>Budget Estimates      2016-2017</v>
      </c>
      <c r="I162" s="132" t="str">
        <f t="shared" si="33"/>
        <v>Forward Estimates     2017-2018</v>
      </c>
      <c r="J162" s="132" t="str">
        <f t="shared" si="33"/>
        <v>Forward Estimates     2018-2019</v>
      </c>
    </row>
    <row r="163" spans="1:10" ht="15" customHeight="1" x14ac:dyDescent="0.2">
      <c r="A163" s="133"/>
      <c r="B163" s="134"/>
      <c r="C163" s="134"/>
      <c r="D163" s="134"/>
      <c r="E163" s="135">
        <v>0</v>
      </c>
      <c r="F163" s="262">
        <v>0</v>
      </c>
      <c r="G163" s="135">
        <v>0</v>
      </c>
      <c r="H163" s="136">
        <v>0</v>
      </c>
      <c r="I163" s="158">
        <v>0</v>
      </c>
      <c r="J163" s="158">
        <v>0</v>
      </c>
    </row>
    <row r="164" spans="1:10" ht="15" customHeight="1" x14ac:dyDescent="0.2">
      <c r="A164" s="137" t="s">
        <v>627</v>
      </c>
      <c r="B164" s="137"/>
      <c r="C164" s="137"/>
      <c r="D164" s="137"/>
      <c r="E164" s="138">
        <f t="shared" ref="E164:J164" si="34">SUM(E163:E163)</f>
        <v>0</v>
      </c>
      <c r="F164" s="138">
        <f t="shared" si="34"/>
        <v>0</v>
      </c>
      <c r="G164" s="138">
        <f t="shared" si="34"/>
        <v>0</v>
      </c>
      <c r="H164" s="138">
        <f t="shared" si="34"/>
        <v>0</v>
      </c>
      <c r="I164" s="138">
        <f t="shared" si="34"/>
        <v>0</v>
      </c>
      <c r="J164" s="138">
        <f t="shared" si="34"/>
        <v>0</v>
      </c>
    </row>
    <row r="165" spans="1:10" x14ac:dyDescent="0.2">
      <c r="A165" s="129"/>
      <c r="B165" s="129"/>
      <c r="C165" s="129"/>
      <c r="D165" s="129"/>
      <c r="E165" s="129"/>
      <c r="F165" s="129"/>
      <c r="G165" s="129"/>
      <c r="H165" s="129"/>
      <c r="I165" s="129"/>
      <c r="J165" s="129"/>
    </row>
    <row r="166" spans="1:10" x14ac:dyDescent="0.2">
      <c r="A166" s="128" t="s">
        <v>284</v>
      </c>
      <c r="B166" s="128"/>
      <c r="C166" s="128"/>
      <c r="D166" s="128"/>
      <c r="E166" s="128"/>
      <c r="F166" s="128"/>
      <c r="G166" s="128"/>
      <c r="H166" s="128"/>
      <c r="I166" s="128"/>
      <c r="J166" s="128"/>
    </row>
    <row r="167" spans="1:10" ht="33.75" x14ac:dyDescent="0.2">
      <c r="A167" s="152" t="s">
        <v>243</v>
      </c>
      <c r="B167" s="151" t="s">
        <v>242</v>
      </c>
      <c r="C167" s="151"/>
      <c r="D167" s="151"/>
      <c r="E167" s="132" t="str">
        <f t="shared" ref="E167:J167" si="35">E34</f>
        <v>Actuals           2014-2015</v>
      </c>
      <c r="F167" s="132" t="str">
        <f t="shared" si="35"/>
        <v>Approved Estimates          2015-2016</v>
      </c>
      <c r="G167" s="132" t="str">
        <f t="shared" si="35"/>
        <v>Revised Estimates                 2015-2016</v>
      </c>
      <c r="H167" s="132" t="str">
        <f t="shared" si="35"/>
        <v>Budget Estimates      2016-2017</v>
      </c>
      <c r="I167" s="132" t="str">
        <f t="shared" si="35"/>
        <v>Forward Estimates     2017-2018</v>
      </c>
      <c r="J167" s="132" t="str">
        <f t="shared" si="35"/>
        <v>Forward Estimates     2018-2019</v>
      </c>
    </row>
    <row r="168" spans="1:10" ht="15" customHeight="1" x14ac:dyDescent="0.2">
      <c r="A168" s="151" t="s">
        <v>7</v>
      </c>
      <c r="B168" s="151"/>
      <c r="C168" s="151"/>
      <c r="D168" s="151"/>
      <c r="E168" s="151"/>
      <c r="F168" s="151"/>
      <c r="G168" s="151"/>
      <c r="H168" s="151"/>
      <c r="I168" s="151"/>
      <c r="J168" s="190"/>
    </row>
    <row r="169" spans="1:10" x14ac:dyDescent="0.2">
      <c r="A169" s="133">
        <v>210</v>
      </c>
      <c r="B169" s="134" t="s">
        <v>7</v>
      </c>
      <c r="C169" s="134"/>
      <c r="D169" s="134"/>
      <c r="E169" s="135">
        <v>600880.07999999996</v>
      </c>
      <c r="F169" s="262">
        <v>727000</v>
      </c>
      <c r="G169" s="135">
        <v>654400</v>
      </c>
      <c r="H169" s="136">
        <v>757900</v>
      </c>
      <c r="I169" s="158">
        <v>799000</v>
      </c>
      <c r="J169" s="158">
        <v>814300</v>
      </c>
    </row>
    <row r="170" spans="1:10" x14ac:dyDescent="0.2">
      <c r="A170" s="133">
        <v>212</v>
      </c>
      <c r="B170" s="134" t="s">
        <v>9</v>
      </c>
      <c r="C170" s="134"/>
      <c r="D170" s="134"/>
      <c r="E170" s="135">
        <v>0</v>
      </c>
      <c r="F170" s="262">
        <v>0</v>
      </c>
      <c r="G170" s="135">
        <v>0</v>
      </c>
      <c r="H170" s="136">
        <v>0</v>
      </c>
      <c r="I170" s="158">
        <v>0</v>
      </c>
      <c r="J170" s="158">
        <v>0</v>
      </c>
    </row>
    <row r="171" spans="1:10" x14ac:dyDescent="0.2">
      <c r="A171" s="133">
        <v>216</v>
      </c>
      <c r="B171" s="134" t="s">
        <v>10</v>
      </c>
      <c r="C171" s="134"/>
      <c r="D171" s="134"/>
      <c r="E171" s="135">
        <v>185223.93</v>
      </c>
      <c r="F171" s="262">
        <v>196300</v>
      </c>
      <c r="G171" s="135">
        <v>196300</v>
      </c>
      <c r="H171" s="136">
        <v>196300</v>
      </c>
      <c r="I171" s="158">
        <v>196300</v>
      </c>
      <c r="J171" s="158">
        <v>196300</v>
      </c>
    </row>
    <row r="172" spans="1:10" x14ac:dyDescent="0.2">
      <c r="A172" s="133">
        <v>218</v>
      </c>
      <c r="B172" s="134" t="s">
        <v>294</v>
      </c>
      <c r="C172" s="134"/>
      <c r="D172" s="134"/>
      <c r="E172" s="135">
        <v>0</v>
      </c>
      <c r="F172" s="262">
        <v>0</v>
      </c>
      <c r="G172" s="135">
        <v>0</v>
      </c>
      <c r="H172" s="136">
        <v>0</v>
      </c>
      <c r="I172" s="158">
        <v>0</v>
      </c>
      <c r="J172" s="158">
        <v>0</v>
      </c>
    </row>
    <row r="173" spans="1:10" x14ac:dyDescent="0.2">
      <c r="A173" s="133">
        <v>219</v>
      </c>
      <c r="B173" s="134" t="s">
        <v>203</v>
      </c>
      <c r="C173" s="134"/>
      <c r="D173" s="134"/>
      <c r="E173" s="135">
        <v>0</v>
      </c>
      <c r="F173" s="262">
        <v>0</v>
      </c>
      <c r="G173" s="135">
        <v>0</v>
      </c>
      <c r="H173" s="136">
        <v>0</v>
      </c>
      <c r="I173" s="158">
        <v>0</v>
      </c>
      <c r="J173" s="158">
        <v>0</v>
      </c>
    </row>
    <row r="174" spans="1:10" ht="15" customHeight="1" x14ac:dyDescent="0.2">
      <c r="A174" s="156" t="s">
        <v>295</v>
      </c>
      <c r="B174" s="156"/>
      <c r="C174" s="156"/>
      <c r="D174" s="156"/>
      <c r="E174" s="157">
        <f t="shared" ref="E174:J174" si="36">SUM(E169:E173)</f>
        <v>786104.01</v>
      </c>
      <c r="F174" s="157">
        <f t="shared" si="36"/>
        <v>923300</v>
      </c>
      <c r="G174" s="157">
        <f t="shared" si="36"/>
        <v>850700</v>
      </c>
      <c r="H174" s="157">
        <f t="shared" si="36"/>
        <v>954200</v>
      </c>
      <c r="I174" s="157">
        <f t="shared" si="36"/>
        <v>995300</v>
      </c>
      <c r="J174" s="157">
        <f t="shared" si="36"/>
        <v>1010600</v>
      </c>
    </row>
    <row r="175" spans="1:10" ht="15" customHeight="1" x14ac:dyDescent="0.2">
      <c r="A175" s="156" t="s">
        <v>296</v>
      </c>
      <c r="B175" s="156"/>
      <c r="C175" s="156"/>
      <c r="D175" s="156"/>
      <c r="E175" s="156"/>
      <c r="F175" s="156"/>
      <c r="G175" s="156"/>
      <c r="H175" s="156"/>
      <c r="I175" s="156"/>
      <c r="J175" s="190"/>
    </row>
    <row r="176" spans="1:10" x14ac:dyDescent="0.2">
      <c r="A176" s="133">
        <v>226</v>
      </c>
      <c r="B176" s="134" t="s">
        <v>207</v>
      </c>
      <c r="C176" s="134"/>
      <c r="D176" s="134"/>
      <c r="E176" s="135">
        <v>10783.32</v>
      </c>
      <c r="F176" s="158">
        <v>17000</v>
      </c>
      <c r="G176" s="158">
        <v>13000</v>
      </c>
      <c r="H176" s="136">
        <v>17000</v>
      </c>
      <c r="I176" s="158">
        <v>17000</v>
      </c>
      <c r="J176" s="158">
        <v>17000</v>
      </c>
    </row>
    <row r="177" spans="1:10" x14ac:dyDescent="0.2">
      <c r="A177" s="133">
        <v>228</v>
      </c>
      <c r="B177" s="134" t="s">
        <v>208</v>
      </c>
      <c r="C177" s="134"/>
      <c r="D177" s="134"/>
      <c r="E177" s="135">
        <v>22697.94</v>
      </c>
      <c r="F177" s="158">
        <v>25000</v>
      </c>
      <c r="G177" s="158">
        <v>23000</v>
      </c>
      <c r="H177" s="136">
        <v>25000</v>
      </c>
      <c r="I177" s="158">
        <v>25000</v>
      </c>
      <c r="J177" s="158">
        <v>25000</v>
      </c>
    </row>
    <row r="178" spans="1:10" x14ac:dyDescent="0.2">
      <c r="A178" s="133">
        <v>236</v>
      </c>
      <c r="B178" s="134" t="s">
        <v>213</v>
      </c>
      <c r="C178" s="134"/>
      <c r="D178" s="134"/>
      <c r="E178" s="135">
        <v>449662.73</v>
      </c>
      <c r="F178" s="158">
        <f>210000+(290000+610000)+(3100000-500000)</f>
        <v>3710000</v>
      </c>
      <c r="G178" s="158">
        <v>3202100</v>
      </c>
      <c r="H178" s="136">
        <f>3768700+430000+420000-159400</f>
        <v>4459300</v>
      </c>
      <c r="I178" s="158">
        <f t="shared" ref="I178:J178" si="37">3768700+430000+420000</f>
        <v>4618700</v>
      </c>
      <c r="J178" s="158">
        <f t="shared" si="37"/>
        <v>4618700</v>
      </c>
    </row>
    <row r="179" spans="1:10" x14ac:dyDescent="0.2">
      <c r="A179" s="133">
        <v>242</v>
      </c>
      <c r="B179" s="134" t="s">
        <v>216</v>
      </c>
      <c r="C179" s="134"/>
      <c r="D179" s="134"/>
      <c r="E179" s="135">
        <v>1939314.52</v>
      </c>
      <c r="F179" s="158">
        <f>1961800+200000</f>
        <v>2161800</v>
      </c>
      <c r="G179" s="158">
        <v>2361400</v>
      </c>
      <c r="H179" s="136">
        <f>2161800+200000</f>
        <v>2361800</v>
      </c>
      <c r="I179" s="158">
        <f t="shared" ref="I179:J179" si="38">2161800+200000</f>
        <v>2361800</v>
      </c>
      <c r="J179" s="158">
        <f t="shared" si="38"/>
        <v>2361800</v>
      </c>
    </row>
    <row r="180" spans="1:10" x14ac:dyDescent="0.2">
      <c r="A180" s="133">
        <v>244</v>
      </c>
      <c r="B180" s="134" t="s">
        <v>217</v>
      </c>
      <c r="C180" s="134"/>
      <c r="D180" s="134"/>
      <c r="E180" s="135">
        <v>19057.45</v>
      </c>
      <c r="F180" s="158">
        <v>20000</v>
      </c>
      <c r="G180" s="158">
        <v>20000</v>
      </c>
      <c r="H180" s="136">
        <v>20000</v>
      </c>
      <c r="I180" s="158">
        <v>20000</v>
      </c>
      <c r="J180" s="158">
        <v>20000</v>
      </c>
    </row>
    <row r="181" spans="1:10" x14ac:dyDescent="0.2">
      <c r="A181" s="133">
        <v>272</v>
      </c>
      <c r="B181" s="134" t="s">
        <v>225</v>
      </c>
      <c r="C181" s="134"/>
      <c r="D181" s="134"/>
      <c r="E181" s="135">
        <v>0</v>
      </c>
      <c r="F181" s="158">
        <v>50000</v>
      </c>
      <c r="G181" s="158">
        <v>86300</v>
      </c>
      <c r="H181" s="136">
        <v>100000</v>
      </c>
      <c r="I181" s="158">
        <v>75000</v>
      </c>
      <c r="J181" s="158">
        <v>75000</v>
      </c>
    </row>
    <row r="182" spans="1:10" x14ac:dyDescent="0.2">
      <c r="A182" s="133">
        <v>275</v>
      </c>
      <c r="B182" s="134" t="s">
        <v>228</v>
      </c>
      <c r="C182" s="134"/>
      <c r="D182" s="134"/>
      <c r="E182" s="135">
        <v>4499.5</v>
      </c>
      <c r="F182" s="158">
        <v>6500</v>
      </c>
      <c r="G182" s="158">
        <v>5700</v>
      </c>
      <c r="H182" s="136">
        <v>6500</v>
      </c>
      <c r="I182" s="158">
        <v>6500</v>
      </c>
      <c r="J182" s="158">
        <v>6500</v>
      </c>
    </row>
    <row r="183" spans="1:10" x14ac:dyDescent="0.2">
      <c r="A183" s="156" t="s">
        <v>298</v>
      </c>
      <c r="B183" s="156"/>
      <c r="C183" s="156"/>
      <c r="D183" s="156"/>
      <c r="E183" s="157">
        <f t="shared" ref="E183:J183" si="39">SUM(E176:E182)</f>
        <v>2446015.46</v>
      </c>
      <c r="F183" s="264">
        <f t="shared" si="39"/>
        <v>5990300</v>
      </c>
      <c r="G183" s="157">
        <f t="shared" si="39"/>
        <v>5711500</v>
      </c>
      <c r="H183" s="157">
        <f t="shared" si="39"/>
        <v>6989600</v>
      </c>
      <c r="I183" s="157">
        <f t="shared" si="39"/>
        <v>7124000</v>
      </c>
      <c r="J183" s="157">
        <f t="shared" si="39"/>
        <v>7124000</v>
      </c>
    </row>
    <row r="184" spans="1:10" x14ac:dyDescent="0.2">
      <c r="A184" s="159" t="s">
        <v>299</v>
      </c>
      <c r="B184" s="159"/>
      <c r="C184" s="159"/>
      <c r="D184" s="159"/>
      <c r="E184" s="160">
        <f t="shared" ref="E184:J184" si="40">SUM(E174,E183)</f>
        <v>3232119.4699999997</v>
      </c>
      <c r="F184" s="160">
        <f t="shared" si="40"/>
        <v>6913600</v>
      </c>
      <c r="G184" s="160">
        <f t="shared" si="40"/>
        <v>6562200</v>
      </c>
      <c r="H184" s="160">
        <f t="shared" si="40"/>
        <v>7943800</v>
      </c>
      <c r="I184" s="160">
        <f t="shared" si="40"/>
        <v>8119300</v>
      </c>
      <c r="J184" s="160">
        <f t="shared" si="40"/>
        <v>8134600</v>
      </c>
    </row>
    <row r="185" spans="1:10" x14ac:dyDescent="0.2">
      <c r="A185" s="129"/>
      <c r="B185" s="129"/>
      <c r="C185" s="129"/>
      <c r="D185" s="129"/>
      <c r="E185" s="129"/>
      <c r="F185" s="129"/>
      <c r="G185" s="129"/>
      <c r="H185" s="129"/>
      <c r="I185" s="129"/>
      <c r="J185" s="190"/>
    </row>
    <row r="186" spans="1:10" x14ac:dyDescent="0.2">
      <c r="A186" s="162" t="s">
        <v>15</v>
      </c>
      <c r="B186" s="162"/>
      <c r="C186" s="162"/>
      <c r="D186" s="162"/>
      <c r="E186" s="162"/>
      <c r="F186" s="162"/>
      <c r="G186" s="162"/>
      <c r="H186" s="162"/>
      <c r="I186" s="162"/>
      <c r="J186" s="162"/>
    </row>
    <row r="187" spans="1:10" ht="18" customHeight="1" x14ac:dyDescent="0.2">
      <c r="A187" s="131" t="s">
        <v>242</v>
      </c>
      <c r="B187" s="131"/>
      <c r="C187" s="131"/>
      <c r="D187" s="131"/>
      <c r="E187" s="128" t="str">
        <f t="shared" ref="E187:J187" si="41">E34</f>
        <v>Actuals           2014-2015</v>
      </c>
      <c r="F187" s="128" t="str">
        <f t="shared" si="41"/>
        <v>Approved Estimates          2015-2016</v>
      </c>
      <c r="G187" s="128" t="str">
        <f t="shared" si="41"/>
        <v>Revised Estimates                 2015-2016</v>
      </c>
      <c r="H187" s="128" t="str">
        <f t="shared" si="41"/>
        <v>Budget Estimates      2016-2017</v>
      </c>
      <c r="I187" s="128" t="str">
        <f t="shared" si="41"/>
        <v>Forward Estimates     2017-2018</v>
      </c>
      <c r="J187" s="128" t="str">
        <f t="shared" si="41"/>
        <v>Forward Estimates     2018-2019</v>
      </c>
    </row>
    <row r="188" spans="1:10" ht="15.75" customHeight="1" x14ac:dyDescent="0.2">
      <c r="A188" s="130" t="s">
        <v>243</v>
      </c>
      <c r="B188" s="130" t="s">
        <v>244</v>
      </c>
      <c r="C188" s="131" t="s">
        <v>245</v>
      </c>
      <c r="D188" s="131"/>
      <c r="E188" s="101"/>
      <c r="F188" s="101"/>
      <c r="G188" s="101"/>
      <c r="H188" s="101"/>
      <c r="I188" s="101"/>
      <c r="J188" s="101"/>
    </row>
    <row r="189" spans="1:10" x14ac:dyDescent="0.2">
      <c r="A189" s="163"/>
      <c r="B189" s="163"/>
      <c r="C189" s="156"/>
      <c r="D189" s="156"/>
      <c r="E189" s="158">
        <v>0</v>
      </c>
      <c r="F189" s="209">
        <v>0</v>
      </c>
      <c r="G189" s="158">
        <v>0</v>
      </c>
      <c r="H189" s="136">
        <v>0</v>
      </c>
      <c r="I189" s="158">
        <v>0</v>
      </c>
      <c r="J189" s="135">
        <v>0</v>
      </c>
    </row>
    <row r="190" spans="1:10" x14ac:dyDescent="0.2">
      <c r="A190" s="137" t="s">
        <v>15</v>
      </c>
      <c r="B190" s="137"/>
      <c r="C190" s="137"/>
      <c r="D190" s="137"/>
      <c r="E190" s="138">
        <v>0</v>
      </c>
      <c r="F190" s="138">
        <v>0</v>
      </c>
      <c r="G190" s="138">
        <v>0</v>
      </c>
      <c r="H190" s="138">
        <v>0</v>
      </c>
      <c r="I190" s="138">
        <v>0</v>
      </c>
      <c r="J190" s="138">
        <v>0</v>
      </c>
    </row>
    <row r="191" spans="1:10" ht="15" customHeight="1" x14ac:dyDescent="0.2">
      <c r="A191" s="290"/>
      <c r="B191" s="290"/>
      <c r="C191" s="290"/>
      <c r="D191" s="290"/>
      <c r="E191" s="290"/>
      <c r="F191" s="290"/>
      <c r="G191" s="290"/>
      <c r="H191" s="290"/>
      <c r="I191" s="290"/>
      <c r="J191" s="290"/>
    </row>
    <row r="192" spans="1:10" x14ac:dyDescent="0.2">
      <c r="A192" s="161" t="s">
        <v>288</v>
      </c>
      <c r="B192" s="161"/>
      <c r="C192" s="161"/>
      <c r="D192" s="161"/>
      <c r="E192" s="161"/>
      <c r="F192" s="202"/>
      <c r="G192" s="202"/>
      <c r="H192" s="202"/>
      <c r="I192" s="202"/>
      <c r="J192" s="202"/>
    </row>
    <row r="193" spans="1:10" ht="15" customHeight="1" x14ac:dyDescent="0.2">
      <c r="A193" s="131" t="s">
        <v>300</v>
      </c>
      <c r="B193" s="131"/>
      <c r="C193" s="131"/>
      <c r="D193" s="132" t="s">
        <v>301</v>
      </c>
      <c r="E193" s="291" t="s">
        <v>302</v>
      </c>
      <c r="F193" s="131" t="s">
        <v>300</v>
      </c>
      <c r="G193" s="131"/>
      <c r="H193" s="131"/>
      <c r="I193" s="132" t="s">
        <v>301</v>
      </c>
      <c r="J193" s="132" t="s">
        <v>302</v>
      </c>
    </row>
    <row r="194" spans="1:10" ht="15" customHeight="1" x14ac:dyDescent="0.2">
      <c r="A194" s="134" t="str">
        <f>Establishment!D104</f>
        <v>Chief Human Resources Officer</v>
      </c>
      <c r="B194" s="134"/>
      <c r="C194" s="134"/>
      <c r="D194" s="133" t="str">
        <f>Establishment!E104</f>
        <v>R5</v>
      </c>
      <c r="E194" s="268">
        <f>Establishment!C104</f>
        <v>1</v>
      </c>
      <c r="F194" s="134" t="str">
        <f>Establishment!D108</f>
        <v>Assistant Secretary</v>
      </c>
      <c r="G194" s="134"/>
      <c r="H194" s="134"/>
      <c r="I194" s="133" t="str">
        <f>Establishment!E108</f>
        <v>R22-16</v>
      </c>
      <c r="J194" s="133">
        <f>Establishment!C108</f>
        <v>2</v>
      </c>
    </row>
    <row r="195" spans="1:10" ht="15" customHeight="1" x14ac:dyDescent="0.2">
      <c r="A195" s="134" t="str">
        <f>Establishment!D105</f>
        <v>Director, Learning &amp; Development</v>
      </c>
      <c r="B195" s="134"/>
      <c r="C195" s="134"/>
      <c r="D195" s="133" t="str">
        <f>Establishment!E105</f>
        <v>R7</v>
      </c>
      <c r="E195" s="268">
        <f>Establishment!C105</f>
        <v>1</v>
      </c>
      <c r="F195" s="134" t="str">
        <f>Establishment!D109</f>
        <v>Executive Officer</v>
      </c>
      <c r="G195" s="134"/>
      <c r="H195" s="134"/>
      <c r="I195" s="133" t="str">
        <f>Establishment!E109</f>
        <v>R28-22</v>
      </c>
      <c r="J195" s="133">
        <f>Establishment!C109</f>
        <v>3</v>
      </c>
    </row>
    <row r="196" spans="1:10" ht="22.5" customHeight="1" x14ac:dyDescent="0.2">
      <c r="A196" s="134" t="str">
        <f>Establishment!D106</f>
        <v>Director, Strategic Human Resource and Operations</v>
      </c>
      <c r="B196" s="134"/>
      <c r="C196" s="134"/>
      <c r="D196" s="133" t="str">
        <f>Establishment!E106</f>
        <v>R7</v>
      </c>
      <c r="E196" s="268">
        <f>Establishment!C106</f>
        <v>1</v>
      </c>
      <c r="F196" s="134" t="str">
        <f>Establishment!D110</f>
        <v>Clerical Officer (Snr)</v>
      </c>
      <c r="G196" s="134"/>
      <c r="H196" s="134"/>
      <c r="I196" s="133" t="str">
        <f>Establishment!E110</f>
        <v>R33-29</v>
      </c>
      <c r="J196" s="133">
        <f>Establishment!C110</f>
        <v>5</v>
      </c>
    </row>
    <row r="197" spans="1:10" ht="15" customHeight="1" x14ac:dyDescent="0.2">
      <c r="A197" s="134" t="str">
        <f>Establishment!D107</f>
        <v>Senior Assistant Secretary</v>
      </c>
      <c r="B197" s="134"/>
      <c r="C197" s="134"/>
      <c r="D197" s="133" t="str">
        <f>Establishment!E107</f>
        <v>R17 -13</v>
      </c>
      <c r="E197" s="268">
        <f>Establishment!C107</f>
        <v>2</v>
      </c>
      <c r="F197" s="134" t="str">
        <f>Establishment!D111</f>
        <v>Clerical Officer</v>
      </c>
      <c r="G197" s="134"/>
      <c r="H197" s="134"/>
      <c r="I197" s="133" t="str">
        <f>Establishment!E111</f>
        <v>R46-34</v>
      </c>
      <c r="J197" s="133">
        <f>Establishment!C111</f>
        <v>1</v>
      </c>
    </row>
    <row r="198" spans="1:10" ht="15" customHeight="1" x14ac:dyDescent="0.2">
      <c r="A198" s="203" t="s">
        <v>303</v>
      </c>
      <c r="B198" s="203"/>
      <c r="C198" s="203"/>
      <c r="D198" s="203"/>
      <c r="E198" s="203"/>
      <c r="F198" s="203"/>
      <c r="G198" s="203"/>
      <c r="H198" s="203"/>
      <c r="I198" s="203"/>
      <c r="J198" s="204">
        <f>SUM(E194:E197,J194:J197)</f>
        <v>16</v>
      </c>
    </row>
    <row r="199" spans="1:10" x14ac:dyDescent="0.2">
      <c r="A199" s="129"/>
      <c r="B199" s="129"/>
      <c r="C199" s="129"/>
      <c r="D199" s="129"/>
      <c r="E199" s="129"/>
      <c r="F199" s="179"/>
      <c r="G199" s="179"/>
      <c r="H199" s="179"/>
      <c r="I199" s="179"/>
      <c r="J199" s="179"/>
    </row>
    <row r="200" spans="1:10" x14ac:dyDescent="0.2">
      <c r="A200" s="180" t="s">
        <v>304</v>
      </c>
      <c r="B200" s="180"/>
      <c r="C200" s="180"/>
      <c r="D200" s="180"/>
      <c r="E200" s="180"/>
      <c r="F200" s="180"/>
      <c r="G200" s="180"/>
      <c r="H200" s="180"/>
      <c r="I200" s="180"/>
      <c r="J200" s="180"/>
    </row>
    <row r="201" spans="1:10" x14ac:dyDescent="0.2">
      <c r="A201" s="181" t="s">
        <v>305</v>
      </c>
      <c r="B201" s="181"/>
      <c r="C201" s="181"/>
      <c r="D201" s="181"/>
      <c r="E201" s="181"/>
      <c r="F201" s="181"/>
      <c r="G201" s="181"/>
      <c r="H201" s="181"/>
      <c r="I201" s="181"/>
      <c r="J201" s="181"/>
    </row>
    <row r="202" spans="1:10" ht="21.75" customHeight="1" x14ac:dyDescent="0.2">
      <c r="A202" s="343" t="s">
        <v>670</v>
      </c>
      <c r="B202" s="343"/>
      <c r="C202" s="343"/>
      <c r="D202" s="343"/>
      <c r="E202" s="343"/>
      <c r="F202" s="343"/>
      <c r="G202" s="343"/>
      <c r="H202" s="343"/>
      <c r="I202" s="343"/>
      <c r="J202" s="343"/>
    </row>
    <row r="203" spans="1:10" ht="21.75" customHeight="1" x14ac:dyDescent="0.2">
      <c r="A203" s="343" t="s">
        <v>671</v>
      </c>
      <c r="B203" s="343"/>
      <c r="C203" s="343"/>
      <c r="D203" s="343"/>
      <c r="E203" s="343"/>
      <c r="F203" s="343"/>
      <c r="G203" s="343"/>
      <c r="H203" s="343"/>
      <c r="I203" s="343"/>
      <c r="J203" s="343"/>
    </row>
    <row r="204" spans="1:10" ht="35.25" customHeight="1" x14ac:dyDescent="0.2">
      <c r="A204" s="343" t="s">
        <v>672</v>
      </c>
      <c r="B204" s="343"/>
      <c r="C204" s="343"/>
      <c r="D204" s="343"/>
      <c r="E204" s="343"/>
      <c r="F204" s="343"/>
      <c r="G204" s="343"/>
      <c r="H204" s="343"/>
      <c r="I204" s="343"/>
      <c r="J204" s="343"/>
    </row>
    <row r="205" spans="1:10" ht="21.75" customHeight="1" x14ac:dyDescent="0.2">
      <c r="A205" s="343" t="s">
        <v>673</v>
      </c>
      <c r="B205" s="343"/>
      <c r="C205" s="343"/>
      <c r="D205" s="343"/>
      <c r="E205" s="343"/>
      <c r="F205" s="343"/>
      <c r="G205" s="343"/>
      <c r="H205" s="343"/>
      <c r="I205" s="343"/>
      <c r="J205" s="343"/>
    </row>
    <row r="206" spans="1:10" ht="21.75" customHeight="1" x14ac:dyDescent="0.2">
      <c r="A206" s="343" t="s">
        <v>674</v>
      </c>
      <c r="B206" s="343"/>
      <c r="C206" s="343"/>
      <c r="D206" s="343"/>
      <c r="E206" s="343"/>
      <c r="F206" s="343"/>
      <c r="G206" s="343"/>
      <c r="H206" s="343"/>
      <c r="I206" s="343"/>
      <c r="J206" s="343"/>
    </row>
    <row r="207" spans="1:10" x14ac:dyDescent="0.2">
      <c r="A207" s="129"/>
      <c r="B207" s="129"/>
      <c r="C207" s="129"/>
      <c r="D207" s="129"/>
      <c r="E207" s="129"/>
      <c r="F207" s="129"/>
      <c r="G207" s="129"/>
      <c r="H207" s="129"/>
      <c r="I207" s="129"/>
      <c r="J207" s="129"/>
    </row>
    <row r="208" spans="1:10" x14ac:dyDescent="0.2">
      <c r="A208" s="183" t="s">
        <v>415</v>
      </c>
      <c r="B208" s="183"/>
      <c r="C208" s="183"/>
      <c r="D208" s="183"/>
      <c r="E208" s="183"/>
      <c r="F208" s="183"/>
      <c r="G208" s="183"/>
      <c r="H208" s="183"/>
      <c r="I208" s="183"/>
      <c r="J208" s="183"/>
    </row>
    <row r="209" spans="1:10" ht="24" customHeight="1" x14ac:dyDescent="0.2">
      <c r="A209" s="343" t="s">
        <v>675</v>
      </c>
      <c r="B209" s="343"/>
      <c r="C209" s="343"/>
      <c r="D209" s="343"/>
      <c r="E209" s="343"/>
      <c r="F209" s="343"/>
      <c r="G209" s="343"/>
      <c r="H209" s="343"/>
      <c r="I209" s="343"/>
      <c r="J209" s="343"/>
    </row>
    <row r="210" spans="1:10" x14ac:dyDescent="0.2">
      <c r="A210" s="343" t="s">
        <v>676</v>
      </c>
      <c r="B210" s="343"/>
      <c r="C210" s="343"/>
      <c r="D210" s="343"/>
      <c r="E210" s="343"/>
      <c r="F210" s="343"/>
      <c r="G210" s="343"/>
      <c r="H210" s="343"/>
      <c r="I210" s="343"/>
      <c r="J210" s="343"/>
    </row>
    <row r="211" spans="1:10" x14ac:dyDescent="0.2">
      <c r="A211" s="343" t="s">
        <v>677</v>
      </c>
      <c r="B211" s="343"/>
      <c r="C211" s="343"/>
      <c r="D211" s="343"/>
      <c r="E211" s="343"/>
      <c r="F211" s="343"/>
      <c r="G211" s="343"/>
      <c r="H211" s="343"/>
      <c r="I211" s="343"/>
      <c r="J211" s="343"/>
    </row>
    <row r="212" spans="1:10" x14ac:dyDescent="0.2">
      <c r="A212" s="129"/>
      <c r="B212" s="129"/>
      <c r="C212" s="129"/>
      <c r="D212" s="129"/>
      <c r="E212" s="129"/>
      <c r="F212" s="129"/>
      <c r="G212" s="129"/>
      <c r="H212" s="129"/>
      <c r="I212" s="129"/>
      <c r="J212" s="129"/>
    </row>
    <row r="213" spans="1:10" ht="22.5" x14ac:dyDescent="0.2">
      <c r="A213" s="180" t="s">
        <v>315</v>
      </c>
      <c r="B213" s="180"/>
      <c r="C213" s="180"/>
      <c r="D213" s="180"/>
      <c r="E213" s="180"/>
      <c r="F213" s="184" t="s">
        <v>532</v>
      </c>
      <c r="G213" s="184" t="s">
        <v>533</v>
      </c>
      <c r="H213" s="184" t="s">
        <v>534</v>
      </c>
      <c r="I213" s="184" t="s">
        <v>535</v>
      </c>
      <c r="J213" s="184" t="s">
        <v>536</v>
      </c>
    </row>
    <row r="214" spans="1:10" x14ac:dyDescent="0.2">
      <c r="A214" s="180" t="s">
        <v>316</v>
      </c>
      <c r="B214" s="180"/>
      <c r="C214" s="180"/>
      <c r="D214" s="180"/>
      <c r="E214" s="180"/>
      <c r="F214" s="180"/>
      <c r="G214" s="180"/>
      <c r="H214" s="180"/>
      <c r="I214" s="180"/>
      <c r="J214" s="180"/>
    </row>
    <row r="215" spans="1:10" x14ac:dyDescent="0.2">
      <c r="A215" s="188" t="s">
        <v>678</v>
      </c>
      <c r="B215" s="188"/>
      <c r="C215" s="188"/>
      <c r="D215" s="188"/>
      <c r="E215" s="188"/>
      <c r="F215" s="286"/>
      <c r="G215" s="207" t="s">
        <v>679</v>
      </c>
      <c r="H215" s="207" t="s">
        <v>680</v>
      </c>
      <c r="I215" s="207" t="s">
        <v>681</v>
      </c>
      <c r="J215" s="207" t="s">
        <v>681</v>
      </c>
    </row>
    <row r="216" spans="1:10" ht="14.25" customHeight="1" x14ac:dyDescent="0.2">
      <c r="A216" s="188" t="s">
        <v>682</v>
      </c>
      <c r="B216" s="188"/>
      <c r="C216" s="188"/>
      <c r="D216" s="188"/>
      <c r="E216" s="188"/>
      <c r="F216" s="286"/>
      <c r="G216" s="207" t="s">
        <v>377</v>
      </c>
      <c r="H216" s="207" t="s">
        <v>683</v>
      </c>
      <c r="I216" s="207" t="s">
        <v>684</v>
      </c>
      <c r="J216" s="207" t="s">
        <v>684</v>
      </c>
    </row>
    <row r="217" spans="1:10" ht="14.25" customHeight="1" x14ac:dyDescent="0.2">
      <c r="A217" s="188" t="s">
        <v>685</v>
      </c>
      <c r="B217" s="188"/>
      <c r="C217" s="188"/>
      <c r="D217" s="188"/>
      <c r="E217" s="188"/>
      <c r="F217" s="286"/>
      <c r="G217" s="207" t="s">
        <v>686</v>
      </c>
      <c r="H217" s="207" t="s">
        <v>686</v>
      </c>
      <c r="I217" s="207" t="s">
        <v>686</v>
      </c>
      <c r="J217" s="207" t="s">
        <v>686</v>
      </c>
    </row>
    <row r="218" spans="1:10" ht="14.25" customHeight="1" x14ac:dyDescent="0.2">
      <c r="A218" s="188" t="s">
        <v>687</v>
      </c>
      <c r="B218" s="188"/>
      <c r="C218" s="188"/>
      <c r="D218" s="188"/>
      <c r="E218" s="188"/>
      <c r="F218" s="286"/>
      <c r="G218" s="207">
        <v>3</v>
      </c>
      <c r="H218" s="207">
        <v>5</v>
      </c>
      <c r="I218" s="207">
        <v>5</v>
      </c>
      <c r="J218" s="207">
        <v>5</v>
      </c>
    </row>
    <row r="219" spans="1:10" ht="14.25" customHeight="1" x14ac:dyDescent="0.2">
      <c r="A219" s="188" t="s">
        <v>688</v>
      </c>
      <c r="B219" s="188"/>
      <c r="C219" s="188"/>
      <c r="D219" s="188"/>
      <c r="E219" s="188"/>
      <c r="F219" s="286"/>
      <c r="G219" s="207">
        <v>0.5</v>
      </c>
      <c r="H219" s="207">
        <v>1</v>
      </c>
      <c r="I219" s="207">
        <v>1</v>
      </c>
      <c r="J219" s="207">
        <v>1</v>
      </c>
    </row>
    <row r="220" spans="1:10" ht="14.25" customHeight="1" x14ac:dyDescent="0.2">
      <c r="A220" s="188" t="s">
        <v>689</v>
      </c>
      <c r="B220" s="188"/>
      <c r="C220" s="188"/>
      <c r="D220" s="188"/>
      <c r="E220" s="188"/>
      <c r="F220" s="286"/>
      <c r="G220" s="207"/>
      <c r="H220" s="207" t="s">
        <v>690</v>
      </c>
      <c r="I220" s="207" t="s">
        <v>690</v>
      </c>
      <c r="J220" s="207" t="s">
        <v>690</v>
      </c>
    </row>
    <row r="221" spans="1:10" ht="14.25" customHeight="1" x14ac:dyDescent="0.2">
      <c r="A221" s="188" t="s">
        <v>691</v>
      </c>
      <c r="B221" s="188"/>
      <c r="C221" s="188"/>
      <c r="D221" s="188"/>
      <c r="E221" s="188"/>
      <c r="F221" s="286"/>
      <c r="G221" s="207"/>
      <c r="H221" s="207">
        <v>30</v>
      </c>
      <c r="I221" s="207">
        <v>30</v>
      </c>
      <c r="J221" s="207">
        <v>10</v>
      </c>
    </row>
    <row r="222" spans="1:10" x14ac:dyDescent="0.2">
      <c r="A222" s="188"/>
      <c r="B222" s="188"/>
      <c r="C222" s="188"/>
      <c r="D222" s="188"/>
      <c r="E222" s="188"/>
      <c r="F222" s="273"/>
      <c r="G222" s="190"/>
      <c r="H222" s="190"/>
      <c r="I222" s="190"/>
      <c r="J222" s="190"/>
    </row>
    <row r="223" spans="1:10" ht="24.75" customHeight="1" x14ac:dyDescent="0.2">
      <c r="A223" s="180" t="s">
        <v>324</v>
      </c>
      <c r="B223" s="180"/>
      <c r="C223" s="180"/>
      <c r="D223" s="180"/>
      <c r="E223" s="180"/>
      <c r="F223" s="180"/>
      <c r="G223" s="180"/>
      <c r="H223" s="180"/>
      <c r="I223" s="180"/>
      <c r="J223" s="180"/>
    </row>
    <row r="224" spans="1:10" ht="24" customHeight="1" x14ac:dyDescent="0.2">
      <c r="A224" s="343" t="s">
        <v>692</v>
      </c>
      <c r="B224" s="343"/>
      <c r="C224" s="343"/>
      <c r="D224" s="343"/>
      <c r="E224" s="343"/>
      <c r="F224" s="207"/>
      <c r="G224" s="206"/>
      <c r="H224" s="206" t="s">
        <v>693</v>
      </c>
      <c r="I224" s="206" t="s">
        <v>658</v>
      </c>
      <c r="J224" s="206">
        <v>1</v>
      </c>
    </row>
    <row r="225" spans="1:10" ht="14.25" customHeight="1" x14ac:dyDescent="0.2">
      <c r="A225" s="343" t="s">
        <v>694</v>
      </c>
      <c r="B225" s="343"/>
      <c r="C225" s="343"/>
      <c r="D225" s="343"/>
      <c r="E225" s="343"/>
      <c r="F225" s="207"/>
      <c r="G225" s="206" t="s">
        <v>658</v>
      </c>
      <c r="H225" s="206">
        <v>1</v>
      </c>
      <c r="I225" s="206">
        <v>1</v>
      </c>
      <c r="J225" s="206">
        <v>1</v>
      </c>
    </row>
    <row r="226" spans="1:10" ht="14.25" customHeight="1" x14ac:dyDescent="0.2">
      <c r="A226" s="343" t="s">
        <v>695</v>
      </c>
      <c r="B226" s="343"/>
      <c r="C226" s="343"/>
      <c r="D226" s="343"/>
      <c r="E226" s="343"/>
      <c r="F226" s="207"/>
      <c r="G226" s="206" t="s">
        <v>696</v>
      </c>
      <c r="H226" s="206">
        <v>0.5</v>
      </c>
      <c r="I226" s="206">
        <v>0.8</v>
      </c>
      <c r="J226" s="206">
        <v>1</v>
      </c>
    </row>
    <row r="227" spans="1:10" ht="14.25" customHeight="1" x14ac:dyDescent="0.2">
      <c r="A227" s="343" t="s">
        <v>697</v>
      </c>
      <c r="B227" s="343"/>
      <c r="C227" s="343"/>
      <c r="D227" s="343"/>
      <c r="E227" s="343"/>
      <c r="F227" s="207"/>
      <c r="G227" s="206"/>
      <c r="H227" s="206">
        <v>0.95</v>
      </c>
      <c r="I227" s="206">
        <v>0.95</v>
      </c>
      <c r="J227" s="206">
        <v>1</v>
      </c>
    </row>
    <row r="228" spans="1:10" x14ac:dyDescent="0.2">
      <c r="A228" s="129"/>
      <c r="B228" s="129"/>
      <c r="C228" s="129"/>
      <c r="D228" s="129"/>
      <c r="E228" s="129"/>
      <c r="F228" s="129"/>
      <c r="G228" s="129"/>
      <c r="H228" s="129"/>
      <c r="I228" s="129"/>
      <c r="J228" s="129"/>
    </row>
    <row r="229" spans="1:10" ht="15" customHeight="1" x14ac:dyDescent="0.2">
      <c r="A229" s="150" t="s">
        <v>698</v>
      </c>
      <c r="B229" s="150"/>
      <c r="C229" s="150"/>
      <c r="D229" s="150"/>
      <c r="E229" s="150"/>
      <c r="F229" s="150"/>
      <c r="G229" s="150"/>
      <c r="H229" s="150"/>
      <c r="I229" s="150"/>
      <c r="J229" s="150"/>
    </row>
    <row r="230" spans="1:10" x14ac:dyDescent="0.2">
      <c r="A230" s="151" t="s">
        <v>291</v>
      </c>
      <c r="B230" s="151"/>
      <c r="C230" s="151"/>
      <c r="D230" s="101"/>
      <c r="E230" s="101"/>
      <c r="F230" s="101"/>
      <c r="G230" s="101"/>
      <c r="H230" s="101"/>
      <c r="I230" s="101"/>
      <c r="J230" s="101"/>
    </row>
    <row r="231" spans="1:10" x14ac:dyDescent="0.2">
      <c r="A231" s="129" t="s">
        <v>699</v>
      </c>
      <c r="B231" s="129"/>
      <c r="C231" s="129"/>
      <c r="D231" s="129"/>
      <c r="E231" s="129"/>
      <c r="F231" s="129"/>
      <c r="G231" s="129"/>
      <c r="H231" s="129"/>
      <c r="I231" s="129"/>
      <c r="J231" s="129"/>
    </row>
    <row r="232" spans="1:10" x14ac:dyDescent="0.2">
      <c r="A232" s="128" t="s">
        <v>293</v>
      </c>
      <c r="B232" s="128"/>
      <c r="C232" s="128"/>
      <c r="D232" s="128"/>
      <c r="E232" s="128"/>
      <c r="F232" s="128"/>
      <c r="G232" s="128"/>
      <c r="H232" s="128"/>
      <c r="I232" s="128"/>
      <c r="J232" s="128"/>
    </row>
    <row r="233" spans="1:10" ht="33.75" x14ac:dyDescent="0.2">
      <c r="A233" s="152" t="s">
        <v>243</v>
      </c>
      <c r="B233" s="151" t="s">
        <v>242</v>
      </c>
      <c r="C233" s="151"/>
      <c r="D233" s="151"/>
      <c r="E233" s="132" t="str">
        <f t="shared" ref="E233:J233" si="42">E34</f>
        <v>Actuals           2014-2015</v>
      </c>
      <c r="F233" s="132" t="str">
        <f t="shared" si="42"/>
        <v>Approved Estimates          2015-2016</v>
      </c>
      <c r="G233" s="132" t="str">
        <f t="shared" si="42"/>
        <v>Revised Estimates                 2015-2016</v>
      </c>
      <c r="H233" s="132" t="str">
        <f t="shared" si="42"/>
        <v>Budget Estimates      2016-2017</v>
      </c>
      <c r="I233" s="132" t="str">
        <f t="shared" si="42"/>
        <v>Forward Estimates     2017-2018</v>
      </c>
      <c r="J233" s="132" t="str">
        <f t="shared" si="42"/>
        <v>Forward Estimates     2018-2019</v>
      </c>
    </row>
    <row r="234" spans="1:10" ht="15" customHeight="1" x14ac:dyDescent="0.2">
      <c r="A234" s="133"/>
      <c r="B234" s="134"/>
      <c r="C234" s="134"/>
      <c r="D234" s="134"/>
      <c r="E234" s="211">
        <v>0</v>
      </c>
      <c r="F234" s="209">
        <v>0</v>
      </c>
      <c r="G234" s="211">
        <v>0</v>
      </c>
      <c r="H234" s="210">
        <v>0</v>
      </c>
      <c r="I234" s="211">
        <v>0</v>
      </c>
      <c r="J234" s="211">
        <v>0</v>
      </c>
    </row>
    <row r="235" spans="1:10" ht="15" customHeight="1" x14ac:dyDescent="0.2">
      <c r="A235" s="137" t="s">
        <v>627</v>
      </c>
      <c r="B235" s="137"/>
      <c r="C235" s="137"/>
      <c r="D235" s="137"/>
      <c r="E235" s="138">
        <f t="shared" ref="E235:J235" si="43">SUM(E234:E234)</f>
        <v>0</v>
      </c>
      <c r="F235" s="138">
        <f t="shared" si="43"/>
        <v>0</v>
      </c>
      <c r="G235" s="138">
        <f t="shared" si="43"/>
        <v>0</v>
      </c>
      <c r="H235" s="138">
        <f t="shared" si="43"/>
        <v>0</v>
      </c>
      <c r="I235" s="138">
        <f t="shared" si="43"/>
        <v>0</v>
      </c>
      <c r="J235" s="138">
        <f t="shared" si="43"/>
        <v>0</v>
      </c>
    </row>
    <row r="236" spans="1:10" x14ac:dyDescent="0.2">
      <c r="A236" s="129"/>
      <c r="B236" s="129"/>
      <c r="C236" s="129"/>
      <c r="D236" s="129"/>
      <c r="E236" s="129"/>
      <c r="F236" s="129"/>
      <c r="G236" s="129"/>
      <c r="H236" s="129"/>
      <c r="I236" s="129"/>
      <c r="J236" s="129"/>
    </row>
    <row r="237" spans="1:10" x14ac:dyDescent="0.2">
      <c r="A237" s="128" t="s">
        <v>284</v>
      </c>
      <c r="B237" s="128"/>
      <c r="C237" s="128"/>
      <c r="D237" s="128"/>
      <c r="E237" s="128"/>
      <c r="F237" s="128"/>
      <c r="G237" s="128"/>
      <c r="H237" s="128"/>
      <c r="I237" s="128"/>
      <c r="J237" s="128"/>
    </row>
    <row r="238" spans="1:10" ht="33.75" x14ac:dyDescent="0.2">
      <c r="A238" s="152" t="s">
        <v>243</v>
      </c>
      <c r="B238" s="151" t="s">
        <v>242</v>
      </c>
      <c r="C238" s="151"/>
      <c r="D238" s="151"/>
      <c r="E238" s="132" t="str">
        <f t="shared" ref="E238:J238" si="44">E34</f>
        <v>Actuals           2014-2015</v>
      </c>
      <c r="F238" s="132" t="str">
        <f t="shared" si="44"/>
        <v>Approved Estimates          2015-2016</v>
      </c>
      <c r="G238" s="132" t="str">
        <f t="shared" si="44"/>
        <v>Revised Estimates                 2015-2016</v>
      </c>
      <c r="H238" s="132" t="str">
        <f t="shared" si="44"/>
        <v>Budget Estimates      2016-2017</v>
      </c>
      <c r="I238" s="132" t="str">
        <f t="shared" si="44"/>
        <v>Forward Estimates     2017-2018</v>
      </c>
      <c r="J238" s="132" t="str">
        <f t="shared" si="44"/>
        <v>Forward Estimates     2018-2019</v>
      </c>
    </row>
    <row r="239" spans="1:10" ht="15" customHeight="1" x14ac:dyDescent="0.2">
      <c r="A239" s="151" t="s">
        <v>7</v>
      </c>
      <c r="B239" s="151"/>
      <c r="C239" s="151"/>
      <c r="D239" s="151"/>
      <c r="E239" s="151"/>
      <c r="F239" s="151"/>
      <c r="G239" s="151"/>
      <c r="H239" s="151"/>
      <c r="I239" s="151"/>
      <c r="J239" s="190"/>
    </row>
    <row r="240" spans="1:10" x14ac:dyDescent="0.2">
      <c r="A240" s="133">
        <v>210</v>
      </c>
      <c r="B240" s="134" t="s">
        <v>7</v>
      </c>
      <c r="C240" s="134"/>
      <c r="D240" s="134"/>
      <c r="E240" s="135">
        <v>842896.09</v>
      </c>
      <c r="F240" s="262">
        <v>890800</v>
      </c>
      <c r="G240" s="135">
        <v>903600</v>
      </c>
      <c r="H240" s="136">
        <v>963300</v>
      </c>
      <c r="I240" s="158">
        <v>992200</v>
      </c>
      <c r="J240" s="158">
        <v>1018600</v>
      </c>
    </row>
    <row r="241" spans="1:10" x14ac:dyDescent="0.2">
      <c r="A241" s="133">
        <v>212</v>
      </c>
      <c r="B241" s="134" t="s">
        <v>9</v>
      </c>
      <c r="C241" s="134"/>
      <c r="D241" s="134"/>
      <c r="E241" s="135">
        <v>18144</v>
      </c>
      <c r="F241" s="262">
        <v>18200</v>
      </c>
      <c r="G241" s="135">
        <v>16700</v>
      </c>
      <c r="H241" s="136">
        <v>18200</v>
      </c>
      <c r="I241" s="158">
        <v>18200</v>
      </c>
      <c r="J241" s="158">
        <v>18200</v>
      </c>
    </row>
    <row r="242" spans="1:10" x14ac:dyDescent="0.2">
      <c r="A242" s="133">
        <v>216</v>
      </c>
      <c r="B242" s="134" t="s">
        <v>10</v>
      </c>
      <c r="C242" s="134"/>
      <c r="D242" s="134"/>
      <c r="E242" s="135">
        <v>43623.07</v>
      </c>
      <c r="F242" s="262">
        <v>35600</v>
      </c>
      <c r="G242" s="135">
        <v>50600</v>
      </c>
      <c r="H242" s="136">
        <v>45200</v>
      </c>
      <c r="I242" s="158">
        <v>35600</v>
      </c>
      <c r="J242" s="158">
        <v>35600</v>
      </c>
    </row>
    <row r="243" spans="1:10" x14ac:dyDescent="0.2">
      <c r="A243" s="133">
        <v>218</v>
      </c>
      <c r="B243" s="134" t="s">
        <v>294</v>
      </c>
      <c r="C243" s="134"/>
      <c r="D243" s="134"/>
      <c r="E243" s="135">
        <v>0</v>
      </c>
      <c r="F243" s="262">
        <v>0</v>
      </c>
      <c r="G243" s="135">
        <v>0</v>
      </c>
      <c r="H243" s="136">
        <v>0</v>
      </c>
      <c r="I243" s="158">
        <v>0</v>
      </c>
      <c r="J243" s="158">
        <v>0</v>
      </c>
    </row>
    <row r="244" spans="1:10" ht="15" customHeight="1" x14ac:dyDescent="0.2">
      <c r="A244" s="156" t="s">
        <v>295</v>
      </c>
      <c r="B244" s="156"/>
      <c r="C244" s="156"/>
      <c r="D244" s="156"/>
      <c r="E244" s="157">
        <f t="shared" ref="E244:J244" si="45">SUM(E240:E243)</f>
        <v>904663.15999999992</v>
      </c>
      <c r="F244" s="157">
        <f t="shared" si="45"/>
        <v>944600</v>
      </c>
      <c r="G244" s="157">
        <f t="shared" si="45"/>
        <v>970900</v>
      </c>
      <c r="H244" s="157">
        <f t="shared" si="45"/>
        <v>1026700</v>
      </c>
      <c r="I244" s="157">
        <f t="shared" si="45"/>
        <v>1046000</v>
      </c>
      <c r="J244" s="157">
        <f t="shared" si="45"/>
        <v>1072400</v>
      </c>
    </row>
    <row r="245" spans="1:10" ht="15" customHeight="1" x14ac:dyDescent="0.2">
      <c r="A245" s="156" t="s">
        <v>296</v>
      </c>
      <c r="B245" s="156"/>
      <c r="C245" s="156"/>
      <c r="D245" s="156"/>
      <c r="E245" s="156"/>
      <c r="F245" s="156"/>
      <c r="G245" s="156"/>
      <c r="H245" s="156"/>
      <c r="I245" s="156"/>
      <c r="J245" s="190"/>
    </row>
    <row r="246" spans="1:10" x14ac:dyDescent="0.2">
      <c r="A246" s="133">
        <v>228</v>
      </c>
      <c r="B246" s="134" t="s">
        <v>208</v>
      </c>
      <c r="C246" s="134"/>
      <c r="D246" s="134"/>
      <c r="E246" s="135">
        <v>144805.79999999999</v>
      </c>
      <c r="F246" s="158">
        <v>100000</v>
      </c>
      <c r="G246" s="158">
        <v>125000</v>
      </c>
      <c r="H246" s="136">
        <v>120000</v>
      </c>
      <c r="I246" s="158">
        <v>120000</v>
      </c>
      <c r="J246" s="158">
        <v>120000</v>
      </c>
    </row>
    <row r="247" spans="1:10" x14ac:dyDescent="0.2">
      <c r="A247" s="133">
        <v>230</v>
      </c>
      <c r="B247" s="134" t="s">
        <v>210</v>
      </c>
      <c r="C247" s="134"/>
      <c r="D247" s="134"/>
      <c r="E247" s="135">
        <v>23717</v>
      </c>
      <c r="F247" s="158">
        <v>25000</v>
      </c>
      <c r="G247" s="158">
        <v>19800</v>
      </c>
      <c r="H247" s="136">
        <v>25000</v>
      </c>
      <c r="I247" s="158">
        <v>25000</v>
      </c>
      <c r="J247" s="158">
        <v>25000</v>
      </c>
    </row>
    <row r="248" spans="1:10" x14ac:dyDescent="0.2">
      <c r="A248" s="133">
        <v>232</v>
      </c>
      <c r="B248" s="134" t="s">
        <v>211</v>
      </c>
      <c r="C248" s="134"/>
      <c r="D248" s="134"/>
      <c r="E248" s="135">
        <v>25976.71</v>
      </c>
      <c r="F248" s="158">
        <v>32000</v>
      </c>
      <c r="G248" s="158">
        <v>33400</v>
      </c>
      <c r="H248" s="136">
        <v>32000</v>
      </c>
      <c r="I248" s="158">
        <v>32000</v>
      </c>
      <c r="J248" s="158">
        <v>32000</v>
      </c>
    </row>
    <row r="249" spans="1:10" x14ac:dyDescent="0.2">
      <c r="A249" s="133">
        <v>236</v>
      </c>
      <c r="B249" s="134" t="s">
        <v>213</v>
      </c>
      <c r="C249" s="134"/>
      <c r="D249" s="134"/>
      <c r="E249" s="135">
        <v>25779.56</v>
      </c>
      <c r="F249" s="158">
        <v>38000</v>
      </c>
      <c r="G249" s="158">
        <v>28500</v>
      </c>
      <c r="H249" s="136">
        <v>38000</v>
      </c>
      <c r="I249" s="158">
        <v>38000</v>
      </c>
      <c r="J249" s="158">
        <v>38000</v>
      </c>
    </row>
    <row r="250" spans="1:10" x14ac:dyDescent="0.2">
      <c r="A250" s="133">
        <v>275</v>
      </c>
      <c r="B250" s="134" t="s">
        <v>228</v>
      </c>
      <c r="C250" s="134"/>
      <c r="D250" s="134"/>
      <c r="E250" s="135">
        <v>1996.32</v>
      </c>
      <c r="F250" s="158">
        <v>2000</v>
      </c>
      <c r="G250" s="158">
        <v>1900</v>
      </c>
      <c r="H250" s="136">
        <v>2000</v>
      </c>
      <c r="I250" s="158">
        <v>2000</v>
      </c>
      <c r="J250" s="158">
        <v>2000</v>
      </c>
    </row>
    <row r="251" spans="1:10" x14ac:dyDescent="0.2">
      <c r="A251" s="156" t="s">
        <v>298</v>
      </c>
      <c r="B251" s="156"/>
      <c r="C251" s="156"/>
      <c r="D251" s="156"/>
      <c r="E251" s="157">
        <f t="shared" ref="E251:J251" si="46">SUM(E246:E250)</f>
        <v>222275.38999999998</v>
      </c>
      <c r="F251" s="264">
        <f t="shared" si="46"/>
        <v>197000</v>
      </c>
      <c r="G251" s="157">
        <f t="shared" si="46"/>
        <v>208600</v>
      </c>
      <c r="H251" s="157">
        <f t="shared" si="46"/>
        <v>217000</v>
      </c>
      <c r="I251" s="157">
        <f t="shared" si="46"/>
        <v>217000</v>
      </c>
      <c r="J251" s="157">
        <f t="shared" si="46"/>
        <v>217000</v>
      </c>
    </row>
    <row r="252" spans="1:10" x14ac:dyDescent="0.2">
      <c r="A252" s="159" t="s">
        <v>299</v>
      </c>
      <c r="B252" s="159"/>
      <c r="C252" s="159"/>
      <c r="D252" s="159"/>
      <c r="E252" s="160">
        <f t="shared" ref="E252:J252" si="47">SUM(E244,E251)</f>
        <v>1126938.5499999998</v>
      </c>
      <c r="F252" s="160">
        <f t="shared" si="47"/>
        <v>1141600</v>
      </c>
      <c r="G252" s="160">
        <f t="shared" si="47"/>
        <v>1179500</v>
      </c>
      <c r="H252" s="160">
        <f t="shared" si="47"/>
        <v>1243700</v>
      </c>
      <c r="I252" s="160">
        <f t="shared" si="47"/>
        <v>1263000</v>
      </c>
      <c r="J252" s="160">
        <f t="shared" si="47"/>
        <v>1289400</v>
      </c>
    </row>
    <row r="253" spans="1:10" ht="18" customHeight="1" x14ac:dyDescent="0.2">
      <c r="A253" s="129"/>
      <c r="B253" s="129"/>
      <c r="C253" s="129"/>
      <c r="D253" s="129"/>
      <c r="E253" s="129"/>
      <c r="F253" s="129"/>
      <c r="G253" s="129"/>
      <c r="H253" s="129"/>
      <c r="I253" s="129"/>
      <c r="J253" s="190"/>
    </row>
    <row r="254" spans="1:10" x14ac:dyDescent="0.2">
      <c r="A254" s="162" t="s">
        <v>15</v>
      </c>
      <c r="B254" s="162"/>
      <c r="C254" s="162"/>
      <c r="D254" s="162"/>
      <c r="E254" s="162"/>
      <c r="F254" s="162"/>
      <c r="G254" s="162"/>
      <c r="H254" s="162"/>
      <c r="I254" s="162"/>
      <c r="J254" s="162"/>
    </row>
    <row r="255" spans="1:10" ht="18" customHeight="1" x14ac:dyDescent="0.2">
      <c r="A255" s="131" t="s">
        <v>242</v>
      </c>
      <c r="B255" s="131"/>
      <c r="C255" s="131"/>
      <c r="D255" s="131"/>
      <c r="E255" s="128" t="str">
        <f t="shared" ref="E255:J255" si="48">E34</f>
        <v>Actuals           2014-2015</v>
      </c>
      <c r="F255" s="128" t="str">
        <f t="shared" si="48"/>
        <v>Approved Estimates          2015-2016</v>
      </c>
      <c r="G255" s="128" t="str">
        <f t="shared" si="48"/>
        <v>Revised Estimates                 2015-2016</v>
      </c>
      <c r="H255" s="128" t="str">
        <f t="shared" si="48"/>
        <v>Budget Estimates      2016-2017</v>
      </c>
      <c r="I255" s="128" t="str">
        <f t="shared" si="48"/>
        <v>Forward Estimates     2017-2018</v>
      </c>
      <c r="J255" s="128" t="str">
        <f t="shared" si="48"/>
        <v>Forward Estimates     2018-2019</v>
      </c>
    </row>
    <row r="256" spans="1:10" x14ac:dyDescent="0.2">
      <c r="A256" s="130" t="s">
        <v>243</v>
      </c>
      <c r="B256" s="130" t="s">
        <v>244</v>
      </c>
      <c r="C256" s="131" t="s">
        <v>245</v>
      </c>
      <c r="D256" s="131"/>
      <c r="E256" s="101"/>
      <c r="F256" s="101"/>
      <c r="G256" s="101"/>
      <c r="H256" s="101"/>
      <c r="I256" s="101"/>
      <c r="J256" s="101"/>
    </row>
    <row r="257" spans="1:10" x14ac:dyDescent="0.2">
      <c r="A257" s="163"/>
      <c r="B257" s="163"/>
      <c r="C257" s="156"/>
      <c r="D257" s="156"/>
      <c r="E257" s="158">
        <v>0</v>
      </c>
      <c r="F257" s="209">
        <v>0</v>
      </c>
      <c r="G257" s="158">
        <v>0</v>
      </c>
      <c r="H257" s="136">
        <v>0</v>
      </c>
      <c r="I257" s="158">
        <v>0</v>
      </c>
      <c r="J257" s="135">
        <v>0</v>
      </c>
    </row>
    <row r="258" spans="1:10" x14ac:dyDescent="0.2">
      <c r="A258" s="163"/>
      <c r="B258" s="163"/>
      <c r="C258" s="156"/>
      <c r="D258" s="156"/>
      <c r="E258" s="158">
        <v>0</v>
      </c>
      <c r="F258" s="209">
        <v>0</v>
      </c>
      <c r="G258" s="158">
        <v>0</v>
      </c>
      <c r="H258" s="136">
        <v>0</v>
      </c>
      <c r="I258" s="158">
        <v>0</v>
      </c>
      <c r="J258" s="135">
        <v>0</v>
      </c>
    </row>
    <row r="259" spans="1:10" ht="15" customHeight="1" x14ac:dyDescent="0.2">
      <c r="A259" s="137" t="s">
        <v>15</v>
      </c>
      <c r="B259" s="137"/>
      <c r="C259" s="137"/>
      <c r="D259" s="137"/>
      <c r="E259" s="138">
        <v>0</v>
      </c>
      <c r="F259" s="138">
        <v>0</v>
      </c>
      <c r="G259" s="138">
        <v>0</v>
      </c>
      <c r="H259" s="138">
        <v>0</v>
      </c>
      <c r="I259" s="138">
        <v>0</v>
      </c>
      <c r="J259" s="138">
        <v>0</v>
      </c>
    </row>
    <row r="260" spans="1:10" x14ac:dyDescent="0.2">
      <c r="A260" s="161"/>
      <c r="B260" s="161"/>
      <c r="C260" s="161"/>
      <c r="D260" s="161"/>
      <c r="E260" s="161"/>
      <c r="F260" s="161"/>
      <c r="G260" s="161"/>
      <c r="H260" s="161"/>
      <c r="I260" s="161"/>
      <c r="J260" s="161"/>
    </row>
    <row r="261" spans="1:10" ht="15" customHeight="1" x14ac:dyDescent="0.2">
      <c r="A261" s="161" t="s">
        <v>288</v>
      </c>
      <c r="B261" s="161"/>
      <c r="C261" s="161"/>
      <c r="D261" s="161"/>
      <c r="E261" s="161"/>
      <c r="F261" s="202"/>
      <c r="G261" s="202"/>
      <c r="H261" s="202"/>
      <c r="I261" s="202"/>
      <c r="J261" s="202"/>
    </row>
    <row r="262" spans="1:10" ht="15" customHeight="1" x14ac:dyDescent="0.2">
      <c r="A262" s="131" t="s">
        <v>300</v>
      </c>
      <c r="B262" s="131"/>
      <c r="C262" s="131"/>
      <c r="D262" s="132" t="s">
        <v>301</v>
      </c>
      <c r="E262" s="132" t="s">
        <v>302</v>
      </c>
      <c r="F262" s="131" t="s">
        <v>300</v>
      </c>
      <c r="G262" s="131"/>
      <c r="H262" s="131"/>
      <c r="I262" s="132" t="s">
        <v>301</v>
      </c>
      <c r="J262" s="132" t="s">
        <v>302</v>
      </c>
    </row>
    <row r="263" spans="1:10" ht="15" customHeight="1" x14ac:dyDescent="0.2">
      <c r="A263" s="134" t="str">
        <f>Establishment!D116</f>
        <v>Superintendent</v>
      </c>
      <c r="B263" s="134"/>
      <c r="C263" s="134"/>
      <c r="D263" s="133" t="str">
        <f>Establishment!E116</f>
        <v>R14-10</v>
      </c>
      <c r="E263" s="133">
        <f>Establishment!C116</f>
        <v>1</v>
      </c>
      <c r="F263" s="134" t="str">
        <f>Establishment!D119</f>
        <v>Senior Prison Officer</v>
      </c>
      <c r="G263" s="134"/>
      <c r="H263" s="134"/>
      <c r="I263" s="133" t="str">
        <f>Establishment!E119</f>
        <v>R31-28</v>
      </c>
      <c r="J263" s="133">
        <f>Establishment!C119</f>
        <v>4</v>
      </c>
    </row>
    <row r="264" spans="1:10" ht="15" customHeight="1" x14ac:dyDescent="0.2">
      <c r="A264" s="134" t="str">
        <f>Establishment!D117</f>
        <v>Deputy Superintendent</v>
      </c>
      <c r="B264" s="134"/>
      <c r="C264" s="134"/>
      <c r="D264" s="133" t="str">
        <f>Establishment!E117</f>
        <v>R22-18</v>
      </c>
      <c r="E264" s="133">
        <f>Establishment!C117</f>
        <v>1</v>
      </c>
      <c r="F264" s="134" t="str">
        <f>Establishment!D120</f>
        <v>Prison Officer</v>
      </c>
      <c r="G264" s="134"/>
      <c r="H264" s="134"/>
      <c r="I264" s="133" t="str">
        <f>Establishment!E120</f>
        <v>R39-32</v>
      </c>
      <c r="J264" s="133">
        <f>Establishment!C120</f>
        <v>20</v>
      </c>
    </row>
    <row r="265" spans="1:10" ht="15" customHeight="1" x14ac:dyDescent="0.2">
      <c r="A265" s="134" t="str">
        <f>Establishment!D118</f>
        <v>Assistant Superintendent</v>
      </c>
      <c r="B265" s="134"/>
      <c r="C265" s="134"/>
      <c r="D265" s="133" t="str">
        <f>Establishment!E118</f>
        <v>R27-23</v>
      </c>
      <c r="E265" s="133">
        <f>Establishment!C118</f>
        <v>1</v>
      </c>
      <c r="F265" s="134" t="str">
        <f>Establishment!D121</f>
        <v>Clerical Officer</v>
      </c>
      <c r="G265" s="134"/>
      <c r="H265" s="134"/>
      <c r="I265" s="133" t="str">
        <f>Establishment!E121</f>
        <v>R46-34</v>
      </c>
      <c r="J265" s="133">
        <f>Establishment!C121</f>
        <v>1</v>
      </c>
    </row>
    <row r="266" spans="1:10" ht="15" customHeight="1" x14ac:dyDescent="0.2">
      <c r="A266" s="203" t="s">
        <v>303</v>
      </c>
      <c r="B266" s="203"/>
      <c r="C266" s="203"/>
      <c r="D266" s="203"/>
      <c r="E266" s="203"/>
      <c r="F266" s="203"/>
      <c r="G266" s="203"/>
      <c r="H266" s="203"/>
      <c r="I266" s="203"/>
      <c r="J266" s="204">
        <f>SUM(E263:E265,J263:J265)</f>
        <v>28</v>
      </c>
    </row>
    <row r="267" spans="1:10" x14ac:dyDescent="0.2">
      <c r="A267" s="129"/>
      <c r="B267" s="129"/>
      <c r="C267" s="129"/>
      <c r="D267" s="129"/>
      <c r="E267" s="129"/>
      <c r="F267" s="179"/>
      <c r="G267" s="179"/>
      <c r="H267" s="179"/>
      <c r="I267" s="179"/>
      <c r="J267" s="179"/>
    </row>
    <row r="268" spans="1:10" x14ac:dyDescent="0.2">
      <c r="A268" s="180" t="s">
        <v>304</v>
      </c>
      <c r="B268" s="180"/>
      <c r="C268" s="180"/>
      <c r="D268" s="180"/>
      <c r="E268" s="180"/>
      <c r="F268" s="180"/>
      <c r="G268" s="180"/>
      <c r="H268" s="180"/>
      <c r="I268" s="180"/>
      <c r="J268" s="180"/>
    </row>
    <row r="269" spans="1:10" x14ac:dyDescent="0.2">
      <c r="A269" s="181" t="s">
        <v>305</v>
      </c>
      <c r="B269" s="181"/>
      <c r="C269" s="181"/>
      <c r="D269" s="181"/>
      <c r="E269" s="181"/>
      <c r="F269" s="181"/>
      <c r="G269" s="181"/>
      <c r="H269" s="181"/>
      <c r="I269" s="181"/>
      <c r="J269" s="181"/>
    </row>
    <row r="270" spans="1:10" x14ac:dyDescent="0.2">
      <c r="A270" s="344" t="s">
        <v>700</v>
      </c>
      <c r="B270" s="344"/>
      <c r="C270" s="344"/>
      <c r="D270" s="344"/>
      <c r="E270" s="344"/>
      <c r="F270" s="344"/>
      <c r="G270" s="344"/>
      <c r="H270" s="344"/>
      <c r="I270" s="344"/>
      <c r="J270" s="344"/>
    </row>
    <row r="271" spans="1:10" x14ac:dyDescent="0.2">
      <c r="A271" s="344" t="s">
        <v>701</v>
      </c>
      <c r="B271" s="344"/>
      <c r="C271" s="344"/>
      <c r="D271" s="344"/>
      <c r="E271" s="344"/>
      <c r="F271" s="344"/>
      <c r="G271" s="344"/>
      <c r="H271" s="344"/>
      <c r="I271" s="344"/>
      <c r="J271" s="344"/>
    </row>
    <row r="272" spans="1:10" x14ac:dyDescent="0.2">
      <c r="A272" s="129" t="s">
        <v>702</v>
      </c>
      <c r="B272" s="129"/>
      <c r="C272" s="129"/>
      <c r="D272" s="129"/>
      <c r="E272" s="129"/>
      <c r="F272" s="129"/>
      <c r="G272" s="129"/>
      <c r="H272" s="129"/>
      <c r="I272" s="129"/>
      <c r="J272" s="129"/>
    </row>
    <row r="273" spans="1:10" x14ac:dyDescent="0.2">
      <c r="A273" s="129" t="s">
        <v>703</v>
      </c>
      <c r="B273" s="129"/>
      <c r="C273" s="129"/>
      <c r="D273" s="129"/>
      <c r="E273" s="129"/>
      <c r="F273" s="129"/>
      <c r="G273" s="129"/>
      <c r="H273" s="129"/>
      <c r="I273" s="129"/>
      <c r="J273" s="129"/>
    </row>
    <row r="274" spans="1:10" x14ac:dyDescent="0.2">
      <c r="A274" s="345"/>
      <c r="B274" s="345"/>
      <c r="C274" s="345"/>
      <c r="D274" s="345"/>
      <c r="E274" s="345"/>
      <c r="F274" s="345"/>
      <c r="G274" s="345"/>
      <c r="H274" s="345"/>
      <c r="I274" s="345"/>
      <c r="J274" s="345"/>
    </row>
    <row r="275" spans="1:10" x14ac:dyDescent="0.2">
      <c r="A275" s="183" t="s">
        <v>415</v>
      </c>
      <c r="B275" s="183"/>
      <c r="C275" s="183"/>
      <c r="D275" s="183"/>
      <c r="E275" s="183"/>
      <c r="F275" s="183"/>
      <c r="G275" s="183"/>
      <c r="H275" s="183"/>
      <c r="I275" s="183"/>
      <c r="J275" s="183"/>
    </row>
    <row r="276" spans="1:10" x14ac:dyDescent="0.2">
      <c r="A276" s="129"/>
      <c r="B276" s="129"/>
      <c r="C276" s="129"/>
      <c r="D276" s="129"/>
      <c r="E276" s="129"/>
      <c r="F276" s="129"/>
      <c r="G276" s="129"/>
      <c r="H276" s="129"/>
      <c r="I276" s="129"/>
      <c r="J276" s="129"/>
    </row>
    <row r="277" spans="1:10" x14ac:dyDescent="0.2">
      <c r="A277" s="129"/>
      <c r="B277" s="129"/>
      <c r="C277" s="129"/>
      <c r="D277" s="129"/>
      <c r="E277" s="129"/>
      <c r="F277" s="129"/>
      <c r="G277" s="129"/>
      <c r="H277" s="129"/>
      <c r="I277" s="129"/>
      <c r="J277" s="129"/>
    </row>
    <row r="278" spans="1:10" x14ac:dyDescent="0.2">
      <c r="A278" s="129"/>
      <c r="B278" s="129"/>
      <c r="C278" s="129"/>
      <c r="D278" s="129"/>
      <c r="E278" s="129"/>
      <c r="F278" s="129"/>
      <c r="G278" s="129"/>
      <c r="H278" s="129"/>
      <c r="I278" s="129"/>
      <c r="J278" s="129"/>
    </row>
    <row r="279" spans="1:10" x14ac:dyDescent="0.2">
      <c r="A279" s="129"/>
      <c r="B279" s="129"/>
      <c r="C279" s="129"/>
      <c r="D279" s="129"/>
      <c r="E279" s="129"/>
      <c r="F279" s="129"/>
      <c r="G279" s="129"/>
      <c r="H279" s="129"/>
      <c r="I279" s="129"/>
      <c r="J279" s="129"/>
    </row>
    <row r="280" spans="1:10" ht="22.5" x14ac:dyDescent="0.2">
      <c r="A280" s="180" t="s">
        <v>315</v>
      </c>
      <c r="B280" s="180"/>
      <c r="C280" s="180"/>
      <c r="D280" s="180"/>
      <c r="E280" s="180"/>
      <c r="F280" s="184" t="s">
        <v>532</v>
      </c>
      <c r="G280" s="184" t="s">
        <v>533</v>
      </c>
      <c r="H280" s="184" t="s">
        <v>534</v>
      </c>
      <c r="I280" s="184" t="s">
        <v>535</v>
      </c>
      <c r="J280" s="184" t="s">
        <v>536</v>
      </c>
    </row>
    <row r="281" spans="1:10" x14ac:dyDescent="0.2">
      <c r="A281" s="180" t="s">
        <v>316</v>
      </c>
      <c r="B281" s="180"/>
      <c r="C281" s="180"/>
      <c r="D281" s="180"/>
      <c r="E281" s="180"/>
      <c r="F281" s="180"/>
      <c r="G281" s="180"/>
      <c r="H281" s="180"/>
      <c r="I281" s="180"/>
      <c r="J281" s="180"/>
    </row>
    <row r="282" spans="1:10" x14ac:dyDescent="0.2">
      <c r="A282" s="344" t="s">
        <v>704</v>
      </c>
      <c r="B282" s="344"/>
      <c r="C282" s="344"/>
      <c r="D282" s="344"/>
      <c r="E282" s="344"/>
      <c r="F282" s="272">
        <v>49</v>
      </c>
      <c r="G282" s="272">
        <v>40</v>
      </c>
      <c r="H282" s="272">
        <v>40</v>
      </c>
      <c r="I282" s="272">
        <v>40</v>
      </c>
      <c r="J282" s="272">
        <v>40</v>
      </c>
    </row>
    <row r="283" spans="1:10" x14ac:dyDescent="0.2">
      <c r="A283" s="344" t="s">
        <v>705</v>
      </c>
      <c r="B283" s="344"/>
      <c r="C283" s="344"/>
      <c r="D283" s="344"/>
      <c r="E283" s="344"/>
      <c r="F283" s="272">
        <v>8</v>
      </c>
      <c r="G283" s="272">
        <v>8</v>
      </c>
      <c r="H283" s="272">
        <v>8</v>
      </c>
      <c r="I283" s="272">
        <v>8</v>
      </c>
      <c r="J283" s="272">
        <v>8</v>
      </c>
    </row>
    <row r="284" spans="1:10" x14ac:dyDescent="0.2">
      <c r="A284" s="344" t="s">
        <v>706</v>
      </c>
      <c r="B284" s="344"/>
      <c r="C284" s="344"/>
      <c r="D284" s="344"/>
      <c r="E284" s="344"/>
      <c r="F284" s="272" t="s">
        <v>707</v>
      </c>
      <c r="G284" s="272" t="s">
        <v>707</v>
      </c>
      <c r="H284" s="272" t="s">
        <v>707</v>
      </c>
      <c r="I284" s="272" t="s">
        <v>707</v>
      </c>
      <c r="J284" s="272" t="s">
        <v>707</v>
      </c>
    </row>
    <row r="285" spans="1:10" ht="14.25" customHeight="1" x14ac:dyDescent="0.2">
      <c r="A285" s="343" t="s">
        <v>708</v>
      </c>
      <c r="B285" s="343"/>
      <c r="C285" s="343"/>
      <c r="D285" s="343"/>
      <c r="E285" s="343"/>
      <c r="F285" s="272">
        <v>7</v>
      </c>
      <c r="G285" s="272">
        <v>7</v>
      </c>
      <c r="H285" s="272">
        <v>9</v>
      </c>
      <c r="I285" s="272">
        <v>10</v>
      </c>
      <c r="J285" s="272">
        <v>10</v>
      </c>
    </row>
    <row r="286" spans="1:10" x14ac:dyDescent="0.2">
      <c r="A286" s="188"/>
      <c r="B286" s="188"/>
      <c r="C286" s="188"/>
      <c r="D286" s="188"/>
      <c r="E286" s="188"/>
      <c r="F286" s="273"/>
      <c r="G286" s="190"/>
      <c r="H286" s="190"/>
      <c r="I286" s="190"/>
      <c r="J286" s="190"/>
    </row>
    <row r="287" spans="1:10" ht="25.5" customHeight="1" x14ac:dyDescent="0.2">
      <c r="A287" s="180" t="s">
        <v>324</v>
      </c>
      <c r="B287" s="180"/>
      <c r="C287" s="180"/>
      <c r="D287" s="180"/>
      <c r="E287" s="180"/>
      <c r="F287" s="180"/>
      <c r="G287" s="180"/>
      <c r="H287" s="180"/>
      <c r="I287" s="180"/>
      <c r="J287" s="180"/>
    </row>
    <row r="288" spans="1:10" x14ac:dyDescent="0.2">
      <c r="A288" s="343" t="s">
        <v>709</v>
      </c>
      <c r="B288" s="343"/>
      <c r="C288" s="343"/>
      <c r="D288" s="343"/>
      <c r="E288" s="343"/>
      <c r="F288" s="272"/>
      <c r="G288" s="270" t="s">
        <v>710</v>
      </c>
      <c r="H288" s="270">
        <v>0.5</v>
      </c>
      <c r="I288" s="270">
        <v>0.55000000000000004</v>
      </c>
      <c r="J288" s="270">
        <v>0.6</v>
      </c>
    </row>
    <row r="289" spans="1:10" ht="21.75" customHeight="1" x14ac:dyDescent="0.2">
      <c r="A289" s="343" t="s">
        <v>711</v>
      </c>
      <c r="B289" s="343"/>
      <c r="C289" s="343"/>
      <c r="D289" s="343"/>
      <c r="E289" s="343"/>
      <c r="F289" s="272"/>
      <c r="G289" s="272"/>
      <c r="H289" s="272" t="s">
        <v>712</v>
      </c>
      <c r="I289" s="272" t="s">
        <v>712</v>
      </c>
      <c r="J289" s="272" t="s">
        <v>713</v>
      </c>
    </row>
    <row r="290" spans="1:10" x14ac:dyDescent="0.2">
      <c r="A290" s="343" t="s">
        <v>714</v>
      </c>
      <c r="B290" s="343"/>
      <c r="C290" s="343"/>
      <c r="D290" s="343"/>
      <c r="E290" s="343"/>
      <c r="F290" s="272" t="s">
        <v>523</v>
      </c>
      <c r="G290" s="272" t="s">
        <v>523</v>
      </c>
      <c r="H290" s="272">
        <v>0</v>
      </c>
      <c r="I290" s="272">
        <v>0</v>
      </c>
      <c r="J290" s="272">
        <v>0</v>
      </c>
    </row>
    <row r="291" spans="1:10" x14ac:dyDescent="0.2">
      <c r="A291" s="343" t="s">
        <v>715</v>
      </c>
      <c r="B291" s="343"/>
      <c r="C291" s="343"/>
      <c r="D291" s="343"/>
      <c r="E291" s="343"/>
      <c r="F291" s="270">
        <v>0.16</v>
      </c>
      <c r="G291" s="270">
        <v>0.2</v>
      </c>
      <c r="H291" s="270">
        <v>0.2</v>
      </c>
      <c r="I291" s="270">
        <v>0.18</v>
      </c>
      <c r="J291" s="270">
        <v>0.18</v>
      </c>
    </row>
    <row r="292" spans="1:10" x14ac:dyDescent="0.2">
      <c r="A292" s="129"/>
      <c r="B292" s="129"/>
      <c r="C292" s="129"/>
      <c r="D292" s="129"/>
      <c r="E292" s="129"/>
      <c r="F292" s="129"/>
      <c r="G292" s="129"/>
      <c r="H292" s="129"/>
      <c r="I292" s="129"/>
      <c r="J292" s="129"/>
    </row>
    <row r="293" spans="1:10" ht="14.25" customHeight="1" x14ac:dyDescent="0.2">
      <c r="A293" s="150" t="s">
        <v>716</v>
      </c>
      <c r="B293" s="150"/>
      <c r="C293" s="150"/>
      <c r="D293" s="150"/>
      <c r="E293" s="150"/>
      <c r="F293" s="150"/>
      <c r="G293" s="150"/>
      <c r="H293" s="150"/>
      <c r="I293" s="150"/>
      <c r="J293" s="150"/>
    </row>
    <row r="294" spans="1:10" x14ac:dyDescent="0.2">
      <c r="A294" s="151" t="s">
        <v>291</v>
      </c>
      <c r="B294" s="151"/>
      <c r="C294" s="151"/>
      <c r="D294" s="101"/>
      <c r="E294" s="101"/>
      <c r="F294" s="101"/>
      <c r="G294" s="101"/>
      <c r="H294" s="101"/>
      <c r="I294" s="101"/>
      <c r="J294" s="101"/>
    </row>
    <row r="295" spans="1:10" ht="24" customHeight="1" x14ac:dyDescent="0.2">
      <c r="A295" s="129" t="s">
        <v>717</v>
      </c>
      <c r="B295" s="129"/>
      <c r="C295" s="129"/>
      <c r="D295" s="129"/>
      <c r="E295" s="129"/>
      <c r="F295" s="129"/>
      <c r="G295" s="129"/>
      <c r="H295" s="129"/>
      <c r="I295" s="129"/>
      <c r="J295" s="129"/>
    </row>
    <row r="296" spans="1:10" x14ac:dyDescent="0.2">
      <c r="A296" s="129"/>
      <c r="B296" s="129"/>
      <c r="C296" s="129"/>
      <c r="D296" s="129"/>
      <c r="E296" s="129"/>
      <c r="F296" s="129"/>
      <c r="G296" s="129"/>
      <c r="H296" s="129"/>
      <c r="I296" s="129"/>
      <c r="J296" s="129"/>
    </row>
    <row r="297" spans="1:10" s="346" customFormat="1" ht="15" x14ac:dyDescent="0.25">
      <c r="A297" s="128" t="s">
        <v>293</v>
      </c>
      <c r="B297" s="128"/>
      <c r="C297" s="128"/>
      <c r="D297" s="128"/>
      <c r="E297" s="128"/>
      <c r="F297" s="128"/>
      <c r="G297" s="128"/>
      <c r="H297" s="128"/>
      <c r="I297" s="128"/>
      <c r="J297" s="128"/>
    </row>
    <row r="298" spans="1:10" s="346" customFormat="1" ht="33.75" x14ac:dyDescent="0.25">
      <c r="A298" s="152" t="s">
        <v>243</v>
      </c>
      <c r="B298" s="151" t="s">
        <v>242</v>
      </c>
      <c r="C298" s="151"/>
      <c r="D298" s="151"/>
      <c r="E298" s="132" t="str">
        <f t="shared" ref="E298:J298" si="49">E34</f>
        <v>Actuals           2014-2015</v>
      </c>
      <c r="F298" s="132" t="str">
        <f t="shared" si="49"/>
        <v>Approved Estimates          2015-2016</v>
      </c>
      <c r="G298" s="132" t="str">
        <f t="shared" si="49"/>
        <v>Revised Estimates                 2015-2016</v>
      </c>
      <c r="H298" s="132" t="str">
        <f t="shared" si="49"/>
        <v>Budget Estimates      2016-2017</v>
      </c>
      <c r="I298" s="132" t="str">
        <f t="shared" si="49"/>
        <v>Forward Estimates     2017-2018</v>
      </c>
      <c r="J298" s="132" t="str">
        <f t="shared" si="49"/>
        <v>Forward Estimates     2018-2019</v>
      </c>
    </row>
    <row r="299" spans="1:10" x14ac:dyDescent="0.2">
      <c r="A299" s="133">
        <v>130</v>
      </c>
      <c r="B299" s="134" t="s">
        <v>718</v>
      </c>
      <c r="C299" s="134"/>
      <c r="D299" s="134"/>
      <c r="E299" s="135">
        <v>0</v>
      </c>
      <c r="F299" s="262">
        <v>100</v>
      </c>
      <c r="G299" s="135">
        <v>100</v>
      </c>
      <c r="H299" s="136">
        <v>100</v>
      </c>
      <c r="I299" s="158">
        <v>100</v>
      </c>
      <c r="J299" s="158">
        <v>100</v>
      </c>
    </row>
    <row r="300" spans="1:10" x14ac:dyDescent="0.2">
      <c r="A300" s="133">
        <v>160</v>
      </c>
      <c r="B300" s="134" t="s">
        <v>719</v>
      </c>
      <c r="C300" s="134"/>
      <c r="D300" s="134"/>
      <c r="E300" s="135">
        <v>840</v>
      </c>
      <c r="F300" s="262">
        <v>1000</v>
      </c>
      <c r="G300" s="135">
        <v>1000</v>
      </c>
      <c r="H300" s="136">
        <v>1000</v>
      </c>
      <c r="I300" s="158">
        <v>1000</v>
      </c>
      <c r="J300" s="158">
        <v>1000</v>
      </c>
    </row>
    <row r="301" spans="1:10" ht="15" customHeight="1" x14ac:dyDescent="0.2">
      <c r="A301" s="137" t="s">
        <v>627</v>
      </c>
      <c r="B301" s="137"/>
      <c r="C301" s="137"/>
      <c r="D301" s="137"/>
      <c r="E301" s="138">
        <f t="shared" ref="E301:J301" si="50">SUM(E299:E300)</f>
        <v>840</v>
      </c>
      <c r="F301" s="138">
        <f t="shared" si="50"/>
        <v>1100</v>
      </c>
      <c r="G301" s="138">
        <f t="shared" si="50"/>
        <v>1100</v>
      </c>
      <c r="H301" s="138">
        <f t="shared" si="50"/>
        <v>1100</v>
      </c>
      <c r="I301" s="138">
        <f t="shared" si="50"/>
        <v>1100</v>
      </c>
      <c r="J301" s="138">
        <f t="shared" si="50"/>
        <v>1100</v>
      </c>
    </row>
    <row r="302" spans="1:10" x14ac:dyDescent="0.2">
      <c r="A302" s="129"/>
      <c r="B302" s="129"/>
      <c r="C302" s="129"/>
      <c r="D302" s="129"/>
      <c r="E302" s="129"/>
      <c r="F302" s="129"/>
      <c r="G302" s="129"/>
      <c r="H302" s="129"/>
      <c r="I302" s="129"/>
      <c r="J302" s="129"/>
    </row>
    <row r="303" spans="1:10" ht="15" customHeight="1" x14ac:dyDescent="0.2">
      <c r="A303" s="128" t="s">
        <v>284</v>
      </c>
      <c r="B303" s="128"/>
      <c r="C303" s="128"/>
      <c r="D303" s="128"/>
      <c r="E303" s="128"/>
      <c r="F303" s="128"/>
      <c r="G303" s="128"/>
      <c r="H303" s="128"/>
      <c r="I303" s="128"/>
      <c r="J303" s="128"/>
    </row>
    <row r="304" spans="1:10" ht="37.5" customHeight="1" x14ac:dyDescent="0.2">
      <c r="A304" s="152" t="s">
        <v>243</v>
      </c>
      <c r="B304" s="151" t="s">
        <v>242</v>
      </c>
      <c r="C304" s="151"/>
      <c r="D304" s="151"/>
      <c r="E304" s="132" t="str">
        <f t="shared" ref="E304:J304" si="51">E34</f>
        <v>Actuals           2014-2015</v>
      </c>
      <c r="F304" s="132" t="str">
        <f t="shared" si="51"/>
        <v>Approved Estimates          2015-2016</v>
      </c>
      <c r="G304" s="132" t="str">
        <f t="shared" si="51"/>
        <v>Revised Estimates                 2015-2016</v>
      </c>
      <c r="H304" s="132" t="str">
        <f t="shared" si="51"/>
        <v>Budget Estimates      2016-2017</v>
      </c>
      <c r="I304" s="132" t="str">
        <f t="shared" si="51"/>
        <v>Forward Estimates     2017-2018</v>
      </c>
      <c r="J304" s="132" t="str">
        <f t="shared" si="51"/>
        <v>Forward Estimates     2018-2019</v>
      </c>
    </row>
    <row r="305" spans="1:10" ht="15" customHeight="1" x14ac:dyDescent="0.2">
      <c r="A305" s="151" t="s">
        <v>7</v>
      </c>
      <c r="B305" s="151"/>
      <c r="C305" s="151"/>
      <c r="D305" s="151"/>
      <c r="E305" s="151"/>
      <c r="F305" s="151"/>
      <c r="G305" s="151"/>
      <c r="H305" s="151"/>
      <c r="I305" s="151"/>
      <c r="J305" s="190"/>
    </row>
    <row r="306" spans="1:10" x14ac:dyDescent="0.2">
      <c r="A306" s="133">
        <v>210</v>
      </c>
      <c r="B306" s="134" t="s">
        <v>7</v>
      </c>
      <c r="C306" s="134"/>
      <c r="D306" s="134"/>
      <c r="E306" s="135">
        <v>0</v>
      </c>
      <c r="F306" s="262">
        <v>0</v>
      </c>
      <c r="G306" s="135">
        <v>0</v>
      </c>
      <c r="H306" s="136">
        <v>0</v>
      </c>
      <c r="I306" s="135">
        <v>0</v>
      </c>
      <c r="J306" s="135">
        <v>0</v>
      </c>
    </row>
    <row r="307" spans="1:10" x14ac:dyDescent="0.2">
      <c r="A307" s="133">
        <v>212</v>
      </c>
      <c r="B307" s="134" t="s">
        <v>9</v>
      </c>
      <c r="C307" s="134"/>
      <c r="D307" s="134"/>
      <c r="E307" s="135">
        <v>0</v>
      </c>
      <c r="F307" s="262">
        <v>0</v>
      </c>
      <c r="G307" s="135">
        <v>0</v>
      </c>
      <c r="H307" s="136">
        <v>0</v>
      </c>
      <c r="I307" s="135">
        <v>0</v>
      </c>
      <c r="J307" s="135">
        <v>0</v>
      </c>
    </row>
    <row r="308" spans="1:10" x14ac:dyDescent="0.2">
      <c r="A308" s="133">
        <v>216</v>
      </c>
      <c r="B308" s="134" t="s">
        <v>10</v>
      </c>
      <c r="C308" s="134"/>
      <c r="D308" s="134"/>
      <c r="E308" s="135">
        <v>0</v>
      </c>
      <c r="F308" s="262">
        <v>0</v>
      </c>
      <c r="G308" s="135">
        <v>0</v>
      </c>
      <c r="H308" s="136">
        <v>0</v>
      </c>
      <c r="I308" s="135">
        <v>0</v>
      </c>
      <c r="J308" s="135">
        <v>0</v>
      </c>
    </row>
    <row r="309" spans="1:10" x14ac:dyDescent="0.2">
      <c r="A309" s="133">
        <v>218</v>
      </c>
      <c r="B309" s="134" t="s">
        <v>294</v>
      </c>
      <c r="C309" s="134"/>
      <c r="D309" s="134"/>
      <c r="E309" s="135">
        <v>0</v>
      </c>
      <c r="F309" s="262">
        <v>0</v>
      </c>
      <c r="G309" s="135">
        <v>0</v>
      </c>
      <c r="H309" s="136">
        <v>0</v>
      </c>
      <c r="I309" s="135">
        <v>0</v>
      </c>
      <c r="J309" s="135">
        <v>0</v>
      </c>
    </row>
    <row r="310" spans="1:10" ht="15" customHeight="1" x14ac:dyDescent="0.2">
      <c r="A310" s="156" t="s">
        <v>295</v>
      </c>
      <c r="B310" s="156"/>
      <c r="C310" s="156"/>
      <c r="D310" s="156"/>
      <c r="E310" s="157">
        <f t="shared" ref="E310:J310" si="52">SUM(E306:E309)</f>
        <v>0</v>
      </c>
      <c r="F310" s="157">
        <f t="shared" si="52"/>
        <v>0</v>
      </c>
      <c r="G310" s="157">
        <f t="shared" si="52"/>
        <v>0</v>
      </c>
      <c r="H310" s="157">
        <f t="shared" si="52"/>
        <v>0</v>
      </c>
      <c r="I310" s="157">
        <f t="shared" si="52"/>
        <v>0</v>
      </c>
      <c r="J310" s="157">
        <f t="shared" si="52"/>
        <v>0</v>
      </c>
    </row>
    <row r="311" spans="1:10" ht="15" customHeight="1" x14ac:dyDescent="0.2">
      <c r="A311" s="156" t="s">
        <v>296</v>
      </c>
      <c r="B311" s="156"/>
      <c r="C311" s="156"/>
      <c r="D311" s="156"/>
      <c r="E311" s="156"/>
      <c r="F311" s="156"/>
      <c r="G311" s="156"/>
      <c r="H311" s="156"/>
      <c r="I311" s="156"/>
      <c r="J311" s="190"/>
    </row>
    <row r="312" spans="1:10" x14ac:dyDescent="0.2">
      <c r="A312" s="133">
        <v>226</v>
      </c>
      <c r="B312" s="134" t="s">
        <v>207</v>
      </c>
      <c r="C312" s="134"/>
      <c r="D312" s="134"/>
      <c r="E312" s="135">
        <v>625.5</v>
      </c>
      <c r="F312" s="158">
        <v>800</v>
      </c>
      <c r="G312" s="158">
        <v>600</v>
      </c>
      <c r="H312" s="136">
        <v>800</v>
      </c>
      <c r="I312" s="135">
        <v>800</v>
      </c>
      <c r="J312" s="135">
        <v>800</v>
      </c>
    </row>
    <row r="313" spans="1:10" x14ac:dyDescent="0.2">
      <c r="A313" s="133">
        <v>228</v>
      </c>
      <c r="B313" s="134" t="s">
        <v>208</v>
      </c>
      <c r="C313" s="134"/>
      <c r="D313" s="134"/>
      <c r="E313" s="135">
        <v>1230</v>
      </c>
      <c r="F313" s="158">
        <v>10000</v>
      </c>
      <c r="G313" s="158">
        <v>11000</v>
      </c>
      <c r="H313" s="136">
        <v>9500</v>
      </c>
      <c r="I313" s="135">
        <f t="shared" ref="I313:J313" si="53">9500+500</f>
        <v>10000</v>
      </c>
      <c r="J313" s="135">
        <f t="shared" si="53"/>
        <v>10000</v>
      </c>
    </row>
    <row r="314" spans="1:10" x14ac:dyDescent="0.2">
      <c r="A314" s="133">
        <v>229</v>
      </c>
      <c r="B314" s="134" t="s">
        <v>576</v>
      </c>
      <c r="C314" s="134"/>
      <c r="D314" s="134"/>
      <c r="E314" s="135">
        <v>0</v>
      </c>
      <c r="F314" s="158">
        <v>13000</v>
      </c>
      <c r="G314" s="158">
        <v>12000</v>
      </c>
      <c r="H314" s="136">
        <v>10200</v>
      </c>
      <c r="I314" s="135">
        <f t="shared" ref="I314" si="54">10200+1800</f>
        <v>12000</v>
      </c>
      <c r="J314" s="135">
        <v>15000</v>
      </c>
    </row>
    <row r="315" spans="1:10" x14ac:dyDescent="0.2">
      <c r="A315" s="133">
        <v>230</v>
      </c>
      <c r="B315" s="134" t="s">
        <v>210</v>
      </c>
      <c r="C315" s="134"/>
      <c r="D315" s="134"/>
      <c r="E315" s="135">
        <v>18837.68</v>
      </c>
      <c r="F315" s="158">
        <v>4500</v>
      </c>
      <c r="G315" s="158">
        <v>4400</v>
      </c>
      <c r="H315" s="136">
        <v>4000</v>
      </c>
      <c r="I315" s="135">
        <v>4000</v>
      </c>
      <c r="J315" s="135">
        <v>4000</v>
      </c>
    </row>
    <row r="316" spans="1:10" x14ac:dyDescent="0.2">
      <c r="A316" s="133">
        <v>232</v>
      </c>
      <c r="B316" s="134" t="s">
        <v>211</v>
      </c>
      <c r="C316" s="134"/>
      <c r="D316" s="134"/>
      <c r="E316" s="135">
        <v>5143.1099999999997</v>
      </c>
      <c r="F316" s="158">
        <v>8100</v>
      </c>
      <c r="G316" s="158">
        <v>5800</v>
      </c>
      <c r="H316" s="136">
        <v>8100</v>
      </c>
      <c r="I316" s="135">
        <v>8100</v>
      </c>
      <c r="J316" s="135">
        <v>8100</v>
      </c>
    </row>
    <row r="317" spans="1:10" x14ac:dyDescent="0.2">
      <c r="A317" s="133">
        <v>242</v>
      </c>
      <c r="B317" s="134" t="s">
        <v>216</v>
      </c>
      <c r="C317" s="134"/>
      <c r="D317" s="134"/>
      <c r="E317" s="135">
        <v>0</v>
      </c>
      <c r="F317" s="158">
        <v>0</v>
      </c>
      <c r="G317" s="158">
        <v>0</v>
      </c>
      <c r="H317" s="136">
        <v>5000</v>
      </c>
      <c r="I317" s="135">
        <v>5000</v>
      </c>
      <c r="J317" s="135">
        <v>5000</v>
      </c>
    </row>
    <row r="318" spans="1:10" x14ac:dyDescent="0.2">
      <c r="A318" s="133">
        <v>260</v>
      </c>
      <c r="B318" s="134" t="s">
        <v>220</v>
      </c>
      <c r="C318" s="134"/>
      <c r="D318" s="134"/>
      <c r="E318" s="135">
        <v>35000.800000000003</v>
      </c>
      <c r="F318" s="158">
        <f>49300+5000</f>
        <v>54300</v>
      </c>
      <c r="G318" s="158">
        <v>55300</v>
      </c>
      <c r="H318" s="136">
        <v>57600</v>
      </c>
      <c r="I318" s="135">
        <v>57600</v>
      </c>
      <c r="J318" s="135">
        <v>57600</v>
      </c>
    </row>
    <row r="319" spans="1:10" x14ac:dyDescent="0.2">
      <c r="A319" s="133">
        <v>275</v>
      </c>
      <c r="B319" s="134" t="s">
        <v>720</v>
      </c>
      <c r="C319" s="134"/>
      <c r="D319" s="134"/>
      <c r="E319" s="135">
        <v>988.56</v>
      </c>
      <c r="F319" s="158">
        <v>1300</v>
      </c>
      <c r="G319" s="158">
        <v>2800</v>
      </c>
      <c r="H319" s="136">
        <v>1000</v>
      </c>
      <c r="I319" s="158">
        <v>1000</v>
      </c>
      <c r="J319" s="158">
        <v>1000</v>
      </c>
    </row>
    <row r="320" spans="1:10" x14ac:dyDescent="0.2">
      <c r="A320" s="156" t="s">
        <v>298</v>
      </c>
      <c r="B320" s="156"/>
      <c r="C320" s="156"/>
      <c r="D320" s="156"/>
      <c r="E320" s="157">
        <f t="shared" ref="E320:J320" si="55">SUM(E312:E319)</f>
        <v>61825.65</v>
      </c>
      <c r="F320" s="157">
        <f t="shared" si="55"/>
        <v>92000</v>
      </c>
      <c r="G320" s="157">
        <f t="shared" si="55"/>
        <v>91900</v>
      </c>
      <c r="H320" s="157">
        <f t="shared" si="55"/>
        <v>96200</v>
      </c>
      <c r="I320" s="157">
        <f t="shared" si="55"/>
        <v>98500</v>
      </c>
      <c r="J320" s="157">
        <f t="shared" si="55"/>
        <v>101500</v>
      </c>
    </row>
    <row r="321" spans="1:10" ht="15" customHeight="1" x14ac:dyDescent="0.2">
      <c r="A321" s="159" t="s">
        <v>299</v>
      </c>
      <c r="B321" s="159"/>
      <c r="C321" s="159"/>
      <c r="D321" s="159"/>
      <c r="E321" s="160">
        <f t="shared" ref="E321:J321" si="56">SUM(E310,E320)</f>
        <v>61825.65</v>
      </c>
      <c r="F321" s="160">
        <f t="shared" si="56"/>
        <v>92000</v>
      </c>
      <c r="G321" s="160">
        <f t="shared" si="56"/>
        <v>91900</v>
      </c>
      <c r="H321" s="160">
        <f t="shared" si="56"/>
        <v>96200</v>
      </c>
      <c r="I321" s="160">
        <f t="shared" si="56"/>
        <v>98500</v>
      </c>
      <c r="J321" s="160">
        <f t="shared" si="56"/>
        <v>101500</v>
      </c>
    </row>
    <row r="322" spans="1:10" ht="15" customHeight="1" x14ac:dyDescent="0.2">
      <c r="A322" s="129"/>
      <c r="B322" s="129"/>
      <c r="C322" s="129"/>
      <c r="D322" s="129"/>
      <c r="E322" s="129"/>
      <c r="F322" s="129"/>
      <c r="G322" s="129"/>
      <c r="H322" s="129"/>
      <c r="I322" s="129"/>
      <c r="J322" s="190"/>
    </row>
    <row r="323" spans="1:10" x14ac:dyDescent="0.2">
      <c r="A323" s="162" t="s">
        <v>15</v>
      </c>
      <c r="B323" s="162"/>
      <c r="C323" s="162"/>
      <c r="D323" s="162"/>
      <c r="E323" s="162"/>
      <c r="F323" s="162"/>
      <c r="G323" s="162"/>
      <c r="H323" s="162"/>
      <c r="I323" s="162"/>
      <c r="J323" s="162"/>
    </row>
    <row r="324" spans="1:10" ht="18" customHeight="1" x14ac:dyDescent="0.2">
      <c r="A324" s="131" t="s">
        <v>242</v>
      </c>
      <c r="B324" s="131"/>
      <c r="C324" s="131"/>
      <c r="D324" s="131"/>
      <c r="E324" s="128" t="str">
        <f t="shared" ref="E324:J324" si="57">E34</f>
        <v>Actuals           2014-2015</v>
      </c>
      <c r="F324" s="128" t="str">
        <f t="shared" si="57"/>
        <v>Approved Estimates          2015-2016</v>
      </c>
      <c r="G324" s="128" t="str">
        <f t="shared" si="57"/>
        <v>Revised Estimates                 2015-2016</v>
      </c>
      <c r="H324" s="128" t="str">
        <f t="shared" si="57"/>
        <v>Budget Estimates      2016-2017</v>
      </c>
      <c r="I324" s="128" t="str">
        <f t="shared" si="57"/>
        <v>Forward Estimates     2017-2018</v>
      </c>
      <c r="J324" s="128" t="str">
        <f t="shared" si="57"/>
        <v>Forward Estimates     2018-2019</v>
      </c>
    </row>
    <row r="325" spans="1:10" x14ac:dyDescent="0.2">
      <c r="A325" s="130" t="s">
        <v>243</v>
      </c>
      <c r="B325" s="130" t="s">
        <v>244</v>
      </c>
      <c r="C325" s="131" t="s">
        <v>245</v>
      </c>
      <c r="D325" s="131"/>
      <c r="E325" s="101"/>
      <c r="F325" s="101"/>
      <c r="G325" s="101"/>
      <c r="H325" s="101"/>
      <c r="I325" s="101"/>
      <c r="J325" s="101"/>
    </row>
    <row r="326" spans="1:10" x14ac:dyDescent="0.2">
      <c r="A326" s="163"/>
      <c r="B326" s="163"/>
      <c r="C326" s="156"/>
      <c r="D326" s="156"/>
      <c r="E326" s="158">
        <v>0</v>
      </c>
      <c r="F326" s="209">
        <v>0</v>
      </c>
      <c r="G326" s="158">
        <v>0</v>
      </c>
      <c r="H326" s="136">
        <v>0</v>
      </c>
      <c r="I326" s="158">
        <v>0</v>
      </c>
      <c r="J326" s="135">
        <v>0</v>
      </c>
    </row>
    <row r="327" spans="1:10" x14ac:dyDescent="0.2">
      <c r="A327" s="163"/>
      <c r="B327" s="163"/>
      <c r="C327" s="156"/>
      <c r="D327" s="156"/>
      <c r="E327" s="158">
        <v>0</v>
      </c>
      <c r="F327" s="209">
        <v>0</v>
      </c>
      <c r="G327" s="158">
        <v>0</v>
      </c>
      <c r="H327" s="136">
        <v>0</v>
      </c>
      <c r="I327" s="158">
        <v>0</v>
      </c>
      <c r="J327" s="135">
        <v>0</v>
      </c>
    </row>
    <row r="328" spans="1:10" ht="15" customHeight="1" x14ac:dyDescent="0.2">
      <c r="A328" s="137" t="s">
        <v>15</v>
      </c>
      <c r="B328" s="137"/>
      <c r="C328" s="137"/>
      <c r="D328" s="137"/>
      <c r="E328" s="138">
        <v>0</v>
      </c>
      <c r="F328" s="138">
        <v>0</v>
      </c>
      <c r="G328" s="138">
        <v>0</v>
      </c>
      <c r="H328" s="138">
        <v>0</v>
      </c>
      <c r="I328" s="138">
        <v>0</v>
      </c>
      <c r="J328" s="138">
        <v>0</v>
      </c>
    </row>
    <row r="329" spans="1:10" x14ac:dyDescent="0.2">
      <c r="A329" s="290"/>
      <c r="B329" s="290"/>
      <c r="C329" s="290"/>
      <c r="D329" s="290"/>
      <c r="E329" s="290"/>
      <c r="F329" s="290"/>
      <c r="G329" s="290"/>
      <c r="H329" s="290"/>
      <c r="I329" s="290"/>
      <c r="J329" s="290"/>
    </row>
    <row r="330" spans="1:10" ht="15" customHeight="1" x14ac:dyDescent="0.2">
      <c r="A330" s="161" t="s">
        <v>288</v>
      </c>
      <c r="B330" s="161"/>
      <c r="C330" s="161"/>
      <c r="D330" s="161"/>
      <c r="E330" s="161"/>
      <c r="F330" s="202"/>
      <c r="G330" s="202"/>
      <c r="H330" s="202"/>
      <c r="I330" s="202"/>
      <c r="J330" s="202"/>
    </row>
    <row r="331" spans="1:10" ht="15" customHeight="1" x14ac:dyDescent="0.2">
      <c r="A331" s="131" t="s">
        <v>300</v>
      </c>
      <c r="B331" s="131"/>
      <c r="C331" s="131"/>
      <c r="D331" s="132" t="s">
        <v>301</v>
      </c>
      <c r="E331" s="291" t="s">
        <v>302</v>
      </c>
      <c r="F331" s="292"/>
      <c r="G331" s="220"/>
      <c r="H331" s="220"/>
      <c r="I331" s="220"/>
      <c r="J331" s="221"/>
    </row>
    <row r="332" spans="1:10" x14ac:dyDescent="0.2">
      <c r="A332" s="134"/>
      <c r="B332" s="134"/>
      <c r="C332" s="134"/>
      <c r="D332" s="133"/>
      <c r="E332" s="268"/>
      <c r="F332" s="293"/>
      <c r="G332" s="171"/>
      <c r="H332" s="171"/>
      <c r="I332" s="171"/>
      <c r="J332" s="174"/>
    </row>
    <row r="333" spans="1:10" x14ac:dyDescent="0.2">
      <c r="A333" s="134"/>
      <c r="B333" s="134"/>
      <c r="C333" s="134"/>
      <c r="D333" s="133"/>
      <c r="E333" s="268"/>
      <c r="F333" s="293"/>
      <c r="G333" s="171"/>
      <c r="H333" s="171"/>
      <c r="I333" s="171"/>
      <c r="J333" s="174"/>
    </row>
    <row r="334" spans="1:10" x14ac:dyDescent="0.2">
      <c r="A334" s="159" t="s">
        <v>303</v>
      </c>
      <c r="B334" s="159"/>
      <c r="C334" s="159"/>
      <c r="D334" s="159"/>
      <c r="E334" s="294">
        <f>SUM(E332:E333)</f>
        <v>0</v>
      </c>
      <c r="F334" s="295"/>
      <c r="G334" s="177"/>
      <c r="H334" s="177"/>
      <c r="I334" s="177"/>
      <c r="J334" s="178"/>
    </row>
    <row r="335" spans="1:10" x14ac:dyDescent="0.2">
      <c r="A335" s="129"/>
      <c r="B335" s="129"/>
      <c r="C335" s="129"/>
      <c r="D335" s="129"/>
      <c r="E335" s="129"/>
      <c r="F335" s="179"/>
      <c r="G335" s="179"/>
      <c r="H335" s="179"/>
      <c r="I335" s="179"/>
      <c r="J335" s="179"/>
    </row>
    <row r="336" spans="1:10" x14ac:dyDescent="0.2">
      <c r="A336" s="180" t="s">
        <v>304</v>
      </c>
      <c r="B336" s="180"/>
      <c r="C336" s="180"/>
      <c r="D336" s="180"/>
      <c r="E336" s="180"/>
      <c r="F336" s="180"/>
      <c r="G336" s="180"/>
      <c r="H336" s="180"/>
      <c r="I336" s="180"/>
      <c r="J336" s="180"/>
    </row>
    <row r="337" spans="1:10" x14ac:dyDescent="0.2">
      <c r="A337" s="181" t="s">
        <v>305</v>
      </c>
      <c r="B337" s="181"/>
      <c r="C337" s="181"/>
      <c r="D337" s="181"/>
      <c r="E337" s="181"/>
      <c r="F337" s="181"/>
      <c r="G337" s="181"/>
      <c r="H337" s="181"/>
      <c r="I337" s="181"/>
      <c r="J337" s="181"/>
    </row>
    <row r="338" spans="1:10" ht="21.75" customHeight="1" x14ac:dyDescent="0.2">
      <c r="A338" s="347" t="s">
        <v>721</v>
      </c>
      <c r="B338" s="347"/>
      <c r="C338" s="347"/>
      <c r="D338" s="347"/>
      <c r="E338" s="347"/>
      <c r="F338" s="347"/>
      <c r="G338" s="347"/>
      <c r="H338" s="347"/>
      <c r="I338" s="347"/>
      <c r="J338" s="348"/>
    </row>
    <row r="339" spans="1:10" ht="21.75" customHeight="1" x14ac:dyDescent="0.2">
      <c r="A339" s="347" t="s">
        <v>722</v>
      </c>
      <c r="B339" s="347"/>
      <c r="C339" s="347"/>
      <c r="D339" s="347"/>
      <c r="E339" s="347"/>
      <c r="F339" s="347"/>
      <c r="G339" s="347"/>
      <c r="H339" s="347"/>
      <c r="I339" s="347"/>
      <c r="J339" s="348"/>
    </row>
    <row r="340" spans="1:10" ht="21.75" customHeight="1" x14ac:dyDescent="0.2">
      <c r="A340" s="347" t="s">
        <v>723</v>
      </c>
      <c r="B340" s="347"/>
      <c r="C340" s="347"/>
      <c r="D340" s="347"/>
      <c r="E340" s="347"/>
      <c r="F340" s="347"/>
      <c r="G340" s="347"/>
      <c r="H340" s="347"/>
      <c r="I340" s="347"/>
      <c r="J340" s="348"/>
    </row>
    <row r="341" spans="1:10" ht="21.75" customHeight="1" x14ac:dyDescent="0.2">
      <c r="A341" s="347" t="s">
        <v>724</v>
      </c>
      <c r="B341" s="347"/>
      <c r="C341" s="347"/>
      <c r="D341" s="347"/>
      <c r="E341" s="347"/>
      <c r="F341" s="347"/>
      <c r="G341" s="347"/>
      <c r="H341" s="347"/>
      <c r="I341" s="347"/>
      <c r="J341" s="348"/>
    </row>
    <row r="342" spans="1:10" x14ac:dyDescent="0.2">
      <c r="A342" s="129"/>
      <c r="B342" s="129"/>
      <c r="C342" s="129"/>
      <c r="D342" s="129"/>
      <c r="E342" s="129"/>
      <c r="F342" s="129"/>
      <c r="G342" s="129"/>
      <c r="H342" s="129"/>
      <c r="I342" s="129"/>
      <c r="J342" s="129"/>
    </row>
    <row r="343" spans="1:10" x14ac:dyDescent="0.2">
      <c r="A343" s="183" t="s">
        <v>415</v>
      </c>
      <c r="B343" s="183"/>
      <c r="C343" s="183"/>
      <c r="D343" s="183"/>
      <c r="E343" s="183"/>
      <c r="F343" s="183"/>
      <c r="G343" s="183"/>
      <c r="H343" s="183"/>
      <c r="I343" s="183"/>
      <c r="J343" s="183"/>
    </row>
    <row r="344" spans="1:10" x14ac:dyDescent="0.2">
      <c r="A344" s="347" t="s">
        <v>725</v>
      </c>
      <c r="B344" s="347"/>
      <c r="C344" s="347"/>
      <c r="D344" s="347"/>
      <c r="E344" s="347"/>
      <c r="F344" s="347"/>
      <c r="G344" s="347"/>
      <c r="H344" s="347"/>
      <c r="I344" s="347"/>
      <c r="J344" s="348"/>
    </row>
    <row r="345" spans="1:10" x14ac:dyDescent="0.2">
      <c r="A345" s="347" t="s">
        <v>726</v>
      </c>
      <c r="B345" s="347"/>
      <c r="C345" s="347"/>
      <c r="D345" s="347"/>
      <c r="E345" s="347"/>
      <c r="F345" s="347"/>
      <c r="G345" s="347"/>
      <c r="H345" s="347"/>
      <c r="I345" s="347"/>
      <c r="J345" s="348"/>
    </row>
    <row r="346" spans="1:10" ht="21.75" customHeight="1" x14ac:dyDescent="0.2">
      <c r="A346" s="347" t="s">
        <v>727</v>
      </c>
      <c r="B346" s="347"/>
      <c r="C346" s="347"/>
      <c r="D346" s="347"/>
      <c r="E346" s="347"/>
      <c r="F346" s="347"/>
      <c r="G346" s="347"/>
      <c r="H346" s="347"/>
      <c r="I346" s="347"/>
      <c r="J346" s="348"/>
    </row>
    <row r="347" spans="1:10" ht="21.75" customHeight="1" x14ac:dyDescent="0.2">
      <c r="A347" s="323" t="s">
        <v>728</v>
      </c>
      <c r="B347" s="324"/>
      <c r="C347" s="324"/>
      <c r="D347" s="324"/>
      <c r="E347" s="324"/>
      <c r="F347" s="324"/>
      <c r="G347" s="324"/>
      <c r="H347" s="324"/>
      <c r="I347" s="324"/>
      <c r="J347" s="325"/>
    </row>
    <row r="348" spans="1:10" x14ac:dyDescent="0.2">
      <c r="A348" s="129"/>
      <c r="B348" s="129"/>
      <c r="C348" s="129"/>
      <c r="D348" s="129"/>
      <c r="E348" s="129"/>
      <c r="F348" s="129"/>
      <c r="G348" s="129"/>
      <c r="H348" s="129"/>
      <c r="I348" s="129"/>
      <c r="J348" s="129"/>
    </row>
    <row r="349" spans="1:10" ht="22.5" x14ac:dyDescent="0.2">
      <c r="A349" s="180" t="s">
        <v>315</v>
      </c>
      <c r="B349" s="180"/>
      <c r="C349" s="180"/>
      <c r="D349" s="180"/>
      <c r="E349" s="180"/>
      <c r="F349" s="184" t="str">
        <f>F280</f>
        <v xml:space="preserve"> Actual 2013/14</v>
      </c>
      <c r="G349" s="184" t="str">
        <f>G280</f>
        <v xml:space="preserve"> Estimate 2014/15</v>
      </c>
      <c r="H349" s="184" t="str">
        <f>H280</f>
        <v xml:space="preserve"> Target 2015/16</v>
      </c>
      <c r="I349" s="184" t="str">
        <f>I280</f>
        <v xml:space="preserve"> Target 2016/17</v>
      </c>
      <c r="J349" s="184" t="str">
        <f>J280</f>
        <v xml:space="preserve"> Target 2017/18</v>
      </c>
    </row>
    <row r="350" spans="1:10" x14ac:dyDescent="0.2">
      <c r="A350" s="180" t="s">
        <v>316</v>
      </c>
      <c r="B350" s="180"/>
      <c r="C350" s="180"/>
      <c r="D350" s="180"/>
      <c r="E350" s="180"/>
      <c r="F350" s="180"/>
      <c r="G350" s="180"/>
      <c r="H350" s="180"/>
      <c r="I350" s="180"/>
      <c r="J350" s="180"/>
    </row>
    <row r="351" spans="1:10" ht="22.5" customHeight="1" x14ac:dyDescent="0.2">
      <c r="A351" s="349" t="s">
        <v>729</v>
      </c>
      <c r="B351" s="350"/>
      <c r="C351" s="350"/>
      <c r="D351" s="350"/>
      <c r="E351" s="351"/>
      <c r="F351" s="272">
        <v>28</v>
      </c>
      <c r="G351" s="191">
        <v>20</v>
      </c>
      <c r="H351" s="191">
        <v>25</v>
      </c>
      <c r="I351" s="191">
        <v>25</v>
      </c>
      <c r="J351" s="191">
        <v>25</v>
      </c>
    </row>
    <row r="352" spans="1:10" ht="15" customHeight="1" x14ac:dyDescent="0.2">
      <c r="A352" s="349" t="s">
        <v>730</v>
      </c>
      <c r="B352" s="350"/>
      <c r="C352" s="350"/>
      <c r="D352" s="350"/>
      <c r="E352" s="351"/>
      <c r="F352" s="272">
        <v>11</v>
      </c>
      <c r="G352" s="191">
        <v>5</v>
      </c>
      <c r="H352" s="191">
        <v>5</v>
      </c>
      <c r="I352" s="191">
        <v>5</v>
      </c>
      <c r="J352" s="191">
        <v>5</v>
      </c>
    </row>
    <row r="353" spans="1:10" ht="15" customHeight="1" x14ac:dyDescent="0.2">
      <c r="A353" s="349" t="s">
        <v>731</v>
      </c>
      <c r="B353" s="350"/>
      <c r="C353" s="350"/>
      <c r="D353" s="350"/>
      <c r="E353" s="351"/>
      <c r="F353" s="272">
        <v>11</v>
      </c>
      <c r="G353" s="191">
        <v>5</v>
      </c>
      <c r="H353" s="191">
        <v>5</v>
      </c>
      <c r="I353" s="191">
        <v>5</v>
      </c>
      <c r="J353" s="191">
        <v>5</v>
      </c>
    </row>
    <row r="354" spans="1:10" x14ac:dyDescent="0.2">
      <c r="A354" s="352"/>
      <c r="B354" s="352"/>
      <c r="C354" s="352"/>
      <c r="D354" s="352"/>
      <c r="E354" s="352"/>
      <c r="F354" s="273"/>
      <c r="G354" s="190"/>
      <c r="H354" s="190"/>
      <c r="I354" s="190"/>
      <c r="J354" s="190"/>
    </row>
    <row r="355" spans="1:10" x14ac:dyDescent="0.2">
      <c r="A355" s="180" t="s">
        <v>324</v>
      </c>
      <c r="B355" s="180"/>
      <c r="C355" s="180"/>
      <c r="D355" s="180"/>
      <c r="E355" s="180"/>
      <c r="F355" s="180"/>
      <c r="G355" s="180"/>
      <c r="H355" s="180"/>
      <c r="I355" s="180"/>
      <c r="J355" s="180"/>
    </row>
    <row r="356" spans="1:10" ht="21.75" customHeight="1" x14ac:dyDescent="0.2">
      <c r="A356" s="349" t="s">
        <v>732</v>
      </c>
      <c r="B356" s="350"/>
      <c r="C356" s="350"/>
      <c r="D356" s="350"/>
      <c r="E356" s="351"/>
      <c r="F356" s="353">
        <v>61</v>
      </c>
      <c r="G356" s="186">
        <v>70</v>
      </c>
      <c r="H356" s="186">
        <v>75</v>
      </c>
      <c r="I356" s="186">
        <v>85</v>
      </c>
      <c r="J356" s="186">
        <v>85</v>
      </c>
    </row>
    <row r="357" spans="1:10" x14ac:dyDescent="0.2">
      <c r="A357" s="354" t="s">
        <v>733</v>
      </c>
      <c r="B357" s="354"/>
      <c r="C357" s="354"/>
      <c r="D357" s="354"/>
      <c r="E357" s="355"/>
      <c r="F357" s="353">
        <v>65</v>
      </c>
      <c r="G357" s="186">
        <v>75</v>
      </c>
      <c r="H357" s="186">
        <v>80</v>
      </c>
      <c r="I357" s="186">
        <v>80</v>
      </c>
      <c r="J357" s="186">
        <v>80</v>
      </c>
    </row>
    <row r="358" spans="1:10" x14ac:dyDescent="0.2">
      <c r="A358" s="129"/>
      <c r="B358" s="129"/>
      <c r="C358" s="129"/>
      <c r="D358" s="129"/>
      <c r="E358" s="129"/>
      <c r="F358" s="129"/>
      <c r="G358" s="129"/>
      <c r="H358" s="129"/>
      <c r="I358" s="129"/>
      <c r="J358" s="129"/>
    </row>
    <row r="359" spans="1:10" x14ac:dyDescent="0.2">
      <c r="A359" s="150" t="s">
        <v>734</v>
      </c>
      <c r="B359" s="150"/>
      <c r="C359" s="150"/>
      <c r="D359" s="150"/>
      <c r="E359" s="150"/>
      <c r="F359" s="150"/>
      <c r="G359" s="150"/>
      <c r="H359" s="150"/>
      <c r="I359" s="150"/>
      <c r="J359" s="150"/>
    </row>
    <row r="360" spans="1:10" x14ac:dyDescent="0.2">
      <c r="A360" s="151" t="s">
        <v>291</v>
      </c>
      <c r="B360" s="151"/>
      <c r="C360" s="151"/>
      <c r="D360" s="101"/>
      <c r="E360" s="101"/>
      <c r="F360" s="101"/>
      <c r="G360" s="101"/>
      <c r="H360" s="101"/>
      <c r="I360" s="101"/>
      <c r="J360" s="101"/>
    </row>
    <row r="361" spans="1:10" ht="23.25" customHeight="1" x14ac:dyDescent="0.2">
      <c r="A361" s="129" t="s">
        <v>735</v>
      </c>
      <c r="B361" s="129"/>
      <c r="C361" s="129"/>
      <c r="D361" s="129"/>
      <c r="E361" s="129"/>
      <c r="F361" s="129"/>
      <c r="G361" s="129"/>
      <c r="H361" s="129"/>
      <c r="I361" s="129"/>
      <c r="J361" s="129"/>
    </row>
    <row r="362" spans="1:10" x14ac:dyDescent="0.2">
      <c r="A362" s="129"/>
      <c r="B362" s="129"/>
      <c r="C362" s="129"/>
      <c r="D362" s="129"/>
      <c r="E362" s="129"/>
      <c r="F362" s="129"/>
      <c r="G362" s="129"/>
      <c r="H362" s="129"/>
      <c r="I362" s="129"/>
      <c r="J362" s="129"/>
    </row>
    <row r="363" spans="1:10" x14ac:dyDescent="0.2">
      <c r="A363" s="128" t="s">
        <v>293</v>
      </c>
      <c r="B363" s="128"/>
      <c r="C363" s="128"/>
      <c r="D363" s="128"/>
      <c r="E363" s="128"/>
      <c r="F363" s="128"/>
      <c r="G363" s="128"/>
      <c r="H363" s="128"/>
      <c r="I363" s="128"/>
      <c r="J363" s="128"/>
    </row>
    <row r="364" spans="1:10" ht="33.75" x14ac:dyDescent="0.2">
      <c r="A364" s="152" t="s">
        <v>243</v>
      </c>
      <c r="B364" s="151" t="s">
        <v>242</v>
      </c>
      <c r="C364" s="151"/>
      <c r="D364" s="151"/>
      <c r="E364" s="132" t="str">
        <f t="shared" ref="E364:J364" si="58">E34</f>
        <v>Actuals           2014-2015</v>
      </c>
      <c r="F364" s="132" t="str">
        <f t="shared" si="58"/>
        <v>Approved Estimates          2015-2016</v>
      </c>
      <c r="G364" s="132" t="str">
        <f t="shared" si="58"/>
        <v>Revised Estimates                 2015-2016</v>
      </c>
      <c r="H364" s="132" t="str">
        <f t="shared" si="58"/>
        <v>Budget Estimates      2016-2017</v>
      </c>
      <c r="I364" s="132" t="str">
        <f t="shared" si="58"/>
        <v>Forward Estimates     2017-2018</v>
      </c>
      <c r="J364" s="132" t="str">
        <f t="shared" si="58"/>
        <v>Forward Estimates     2018-2019</v>
      </c>
    </row>
    <row r="365" spans="1:10" x14ac:dyDescent="0.2">
      <c r="A365" s="133" t="s">
        <v>736</v>
      </c>
      <c r="B365" s="134" t="s">
        <v>737</v>
      </c>
      <c r="C365" s="134"/>
      <c r="D365" s="134"/>
      <c r="E365" s="135">
        <v>1375</v>
      </c>
      <c r="F365" s="262">
        <v>0</v>
      </c>
      <c r="G365" s="135">
        <v>0</v>
      </c>
      <c r="H365" s="136">
        <v>0</v>
      </c>
      <c r="I365" s="158">
        <v>0</v>
      </c>
      <c r="J365" s="158">
        <v>0</v>
      </c>
    </row>
    <row r="366" spans="1:10" ht="15" customHeight="1" x14ac:dyDescent="0.2">
      <c r="A366" s="137" t="s">
        <v>627</v>
      </c>
      <c r="B366" s="137"/>
      <c r="C366" s="137"/>
      <c r="D366" s="137"/>
      <c r="E366" s="138">
        <f t="shared" ref="E366:J366" si="59">SUM(E365:E365)</f>
        <v>1375</v>
      </c>
      <c r="F366" s="138">
        <f t="shared" si="59"/>
        <v>0</v>
      </c>
      <c r="G366" s="138">
        <f t="shared" si="59"/>
        <v>0</v>
      </c>
      <c r="H366" s="138">
        <f t="shared" si="59"/>
        <v>0</v>
      </c>
      <c r="I366" s="138">
        <f t="shared" si="59"/>
        <v>0</v>
      </c>
      <c r="J366" s="138">
        <f t="shared" si="59"/>
        <v>0</v>
      </c>
    </row>
    <row r="367" spans="1:10" x14ac:dyDescent="0.2">
      <c r="A367" s="129"/>
      <c r="B367" s="129"/>
      <c r="C367" s="129"/>
      <c r="D367" s="129"/>
      <c r="E367" s="129"/>
      <c r="F367" s="129"/>
      <c r="G367" s="129"/>
      <c r="H367" s="129"/>
      <c r="I367" s="129"/>
      <c r="J367" s="129"/>
    </row>
    <row r="368" spans="1:10" x14ac:dyDescent="0.2">
      <c r="A368" s="128" t="s">
        <v>284</v>
      </c>
      <c r="B368" s="128"/>
      <c r="C368" s="128"/>
      <c r="D368" s="128"/>
      <c r="E368" s="128"/>
      <c r="F368" s="128"/>
      <c r="G368" s="128"/>
      <c r="H368" s="128"/>
      <c r="I368" s="128"/>
      <c r="J368" s="128"/>
    </row>
    <row r="369" spans="1:10" ht="33.75" x14ac:dyDescent="0.2">
      <c r="A369" s="152" t="s">
        <v>243</v>
      </c>
      <c r="B369" s="151" t="s">
        <v>242</v>
      </c>
      <c r="C369" s="151"/>
      <c r="D369" s="151"/>
      <c r="E369" s="132" t="str">
        <f t="shared" ref="E369:J369" si="60">E34</f>
        <v>Actuals           2014-2015</v>
      </c>
      <c r="F369" s="132" t="str">
        <f t="shared" si="60"/>
        <v>Approved Estimates          2015-2016</v>
      </c>
      <c r="G369" s="132" t="str">
        <f t="shared" si="60"/>
        <v>Revised Estimates                 2015-2016</v>
      </c>
      <c r="H369" s="132" t="str">
        <f t="shared" si="60"/>
        <v>Budget Estimates      2016-2017</v>
      </c>
      <c r="I369" s="132" t="str">
        <f t="shared" si="60"/>
        <v>Forward Estimates     2017-2018</v>
      </c>
      <c r="J369" s="132" t="str">
        <f t="shared" si="60"/>
        <v>Forward Estimates     2018-2019</v>
      </c>
    </row>
    <row r="370" spans="1:10" x14ac:dyDescent="0.2">
      <c r="A370" s="151" t="s">
        <v>7</v>
      </c>
      <c r="B370" s="151"/>
      <c r="C370" s="151"/>
      <c r="D370" s="151"/>
      <c r="E370" s="151"/>
      <c r="F370" s="151"/>
      <c r="G370" s="151"/>
      <c r="H370" s="151"/>
      <c r="I370" s="151"/>
      <c r="J370" s="190"/>
    </row>
    <row r="371" spans="1:10" ht="15" customHeight="1" x14ac:dyDescent="0.2">
      <c r="A371" s="133">
        <v>210</v>
      </c>
      <c r="B371" s="134" t="s">
        <v>7</v>
      </c>
      <c r="C371" s="134"/>
      <c r="D371" s="134"/>
      <c r="E371" s="135">
        <v>318729.55</v>
      </c>
      <c r="F371" s="262">
        <v>326200</v>
      </c>
      <c r="G371" s="135">
        <v>295300</v>
      </c>
      <c r="H371" s="136">
        <v>317000</v>
      </c>
      <c r="I371" s="158">
        <v>322400</v>
      </c>
      <c r="J371" s="158">
        <v>327700</v>
      </c>
    </row>
    <row r="372" spans="1:10" x14ac:dyDescent="0.2">
      <c r="A372" s="133">
        <v>212</v>
      </c>
      <c r="B372" s="134" t="s">
        <v>9</v>
      </c>
      <c r="C372" s="134"/>
      <c r="D372" s="134"/>
      <c r="E372" s="135">
        <v>0</v>
      </c>
      <c r="F372" s="262">
        <v>0</v>
      </c>
      <c r="G372" s="135">
        <v>0</v>
      </c>
      <c r="H372" s="136">
        <v>0</v>
      </c>
      <c r="I372" s="158">
        <v>0</v>
      </c>
      <c r="J372" s="158">
        <v>0</v>
      </c>
    </row>
    <row r="373" spans="1:10" x14ac:dyDescent="0.2">
      <c r="A373" s="133">
        <v>216</v>
      </c>
      <c r="B373" s="134" t="s">
        <v>10</v>
      </c>
      <c r="C373" s="134"/>
      <c r="D373" s="134"/>
      <c r="E373" s="135">
        <v>31520</v>
      </c>
      <c r="F373" s="262">
        <v>35200</v>
      </c>
      <c r="G373" s="135">
        <v>33200</v>
      </c>
      <c r="H373" s="136">
        <v>36800</v>
      </c>
      <c r="I373" s="158">
        <v>35200</v>
      </c>
      <c r="J373" s="158">
        <v>35200</v>
      </c>
    </row>
    <row r="374" spans="1:10" x14ac:dyDescent="0.2">
      <c r="A374" s="133">
        <v>218</v>
      </c>
      <c r="B374" s="134" t="s">
        <v>294</v>
      </c>
      <c r="C374" s="134"/>
      <c r="D374" s="134"/>
      <c r="E374" s="135">
        <v>0</v>
      </c>
      <c r="F374" s="262">
        <v>0</v>
      </c>
      <c r="G374" s="135">
        <v>0</v>
      </c>
      <c r="H374" s="136">
        <v>0</v>
      </c>
      <c r="I374" s="158">
        <v>0</v>
      </c>
      <c r="J374" s="158">
        <v>0</v>
      </c>
    </row>
    <row r="375" spans="1:10" x14ac:dyDescent="0.2">
      <c r="A375" s="156" t="s">
        <v>295</v>
      </c>
      <c r="B375" s="156"/>
      <c r="C375" s="156"/>
      <c r="D375" s="156"/>
      <c r="E375" s="157">
        <f t="shared" ref="E375:J375" si="61">SUM(E371:E374)</f>
        <v>350249.55</v>
      </c>
      <c r="F375" s="157">
        <f t="shared" si="61"/>
        <v>361400</v>
      </c>
      <c r="G375" s="157">
        <f t="shared" si="61"/>
        <v>328500</v>
      </c>
      <c r="H375" s="157">
        <f t="shared" si="61"/>
        <v>353800</v>
      </c>
      <c r="I375" s="157">
        <f t="shared" si="61"/>
        <v>357600</v>
      </c>
      <c r="J375" s="157">
        <f t="shared" si="61"/>
        <v>362900</v>
      </c>
    </row>
    <row r="376" spans="1:10" x14ac:dyDescent="0.2">
      <c r="A376" s="156" t="s">
        <v>296</v>
      </c>
      <c r="B376" s="156"/>
      <c r="C376" s="156"/>
      <c r="D376" s="156"/>
      <c r="E376" s="156"/>
      <c r="F376" s="156"/>
      <c r="G376" s="156"/>
      <c r="H376" s="156"/>
      <c r="I376" s="156"/>
      <c r="J376" s="190"/>
    </row>
    <row r="377" spans="1:10" x14ac:dyDescent="0.2">
      <c r="A377" s="133">
        <v>224</v>
      </c>
      <c r="B377" s="134" t="s">
        <v>206</v>
      </c>
      <c r="C377" s="134"/>
      <c r="D377" s="134"/>
      <c r="E377" s="135">
        <v>637615.11</v>
      </c>
      <c r="F377" s="262">
        <v>755000</v>
      </c>
      <c r="G377" s="135">
        <v>679200</v>
      </c>
      <c r="H377" s="136">
        <v>705000</v>
      </c>
      <c r="I377" s="158">
        <v>705000</v>
      </c>
      <c r="J377" s="158">
        <v>705000</v>
      </c>
    </row>
    <row r="378" spans="1:10" x14ac:dyDescent="0.2">
      <c r="A378" s="133">
        <v>226</v>
      </c>
      <c r="B378" s="134" t="s">
        <v>207</v>
      </c>
      <c r="C378" s="134"/>
      <c r="D378" s="134"/>
      <c r="E378" s="135">
        <v>22928.2</v>
      </c>
      <c r="F378" s="158">
        <v>23000</v>
      </c>
      <c r="G378" s="158">
        <v>23600</v>
      </c>
      <c r="H378" s="136">
        <v>23000</v>
      </c>
      <c r="I378" s="158">
        <v>23000</v>
      </c>
      <c r="J378" s="158">
        <v>23000</v>
      </c>
    </row>
    <row r="379" spans="1:10" x14ac:dyDescent="0.2">
      <c r="A379" s="133">
        <v>228</v>
      </c>
      <c r="B379" s="134" t="s">
        <v>208</v>
      </c>
      <c r="C379" s="134"/>
      <c r="D379" s="134"/>
      <c r="E379" s="135">
        <v>13575.18</v>
      </c>
      <c r="F379" s="158">
        <v>22000</v>
      </c>
      <c r="G379" s="158">
        <v>22700</v>
      </c>
      <c r="H379" s="136">
        <v>22000</v>
      </c>
      <c r="I379" s="158">
        <v>22000</v>
      </c>
      <c r="J379" s="158">
        <v>22000</v>
      </c>
    </row>
    <row r="380" spans="1:10" x14ac:dyDescent="0.2">
      <c r="A380" s="133">
        <v>229</v>
      </c>
      <c r="B380" s="134" t="s">
        <v>209</v>
      </c>
      <c r="C380" s="134"/>
      <c r="D380" s="134"/>
      <c r="E380" s="135">
        <v>36663.089999999997</v>
      </c>
      <c r="F380" s="158">
        <v>35000</v>
      </c>
      <c r="G380" s="158">
        <v>75000</v>
      </c>
      <c r="H380" s="136">
        <v>35000</v>
      </c>
      <c r="I380" s="158">
        <v>35000</v>
      </c>
      <c r="J380" s="158">
        <v>35000</v>
      </c>
    </row>
    <row r="381" spans="1:10" x14ac:dyDescent="0.2">
      <c r="A381" s="133">
        <v>232</v>
      </c>
      <c r="B381" s="134" t="s">
        <v>211</v>
      </c>
      <c r="C381" s="134"/>
      <c r="D381" s="134"/>
      <c r="E381" s="135">
        <v>223190.98</v>
      </c>
      <c r="F381" s="158">
        <v>180000</v>
      </c>
      <c r="G381" s="158">
        <v>182400</v>
      </c>
      <c r="H381" s="136">
        <v>180000</v>
      </c>
      <c r="I381" s="158">
        <v>180000</v>
      </c>
      <c r="J381" s="158">
        <v>180000</v>
      </c>
    </row>
    <row r="382" spans="1:10" x14ac:dyDescent="0.2">
      <c r="A382" s="133">
        <v>234</v>
      </c>
      <c r="B382" s="134" t="s">
        <v>212</v>
      </c>
      <c r="C382" s="134"/>
      <c r="D382" s="134"/>
      <c r="E382" s="135">
        <v>18000</v>
      </c>
      <c r="F382" s="158">
        <v>18000</v>
      </c>
      <c r="G382" s="158">
        <v>18000</v>
      </c>
      <c r="H382" s="136">
        <v>18000</v>
      </c>
      <c r="I382" s="158">
        <v>18000</v>
      </c>
      <c r="J382" s="158">
        <v>18000</v>
      </c>
    </row>
    <row r="383" spans="1:10" x14ac:dyDescent="0.2">
      <c r="A383" s="133">
        <v>261</v>
      </c>
      <c r="B383" s="134" t="s">
        <v>221</v>
      </c>
      <c r="C383" s="134"/>
      <c r="D383" s="134"/>
      <c r="E383" s="135">
        <v>5813533.5099999998</v>
      </c>
      <c r="F383" s="158">
        <v>6400000</v>
      </c>
      <c r="G383" s="158">
        <v>6150000</v>
      </c>
      <c r="H383" s="136">
        <v>6250000</v>
      </c>
      <c r="I383" s="158">
        <v>6250000</v>
      </c>
      <c r="J383" s="158">
        <v>6250000</v>
      </c>
    </row>
    <row r="384" spans="1:10" x14ac:dyDescent="0.2">
      <c r="A384" s="133">
        <v>274</v>
      </c>
      <c r="B384" s="134" t="s">
        <v>227</v>
      </c>
      <c r="C384" s="134"/>
      <c r="D384" s="134"/>
      <c r="E384" s="135">
        <v>44915.13</v>
      </c>
      <c r="F384" s="158">
        <v>50000</v>
      </c>
      <c r="G384" s="158">
        <v>24300</v>
      </c>
      <c r="H384" s="136">
        <v>50000</v>
      </c>
      <c r="I384" s="158">
        <v>50000</v>
      </c>
      <c r="J384" s="158">
        <v>50000</v>
      </c>
    </row>
    <row r="385" spans="1:10" x14ac:dyDescent="0.2">
      <c r="A385" s="133">
        <v>275</v>
      </c>
      <c r="B385" s="134" t="s">
        <v>228</v>
      </c>
      <c r="C385" s="134"/>
      <c r="D385" s="134"/>
      <c r="E385" s="135">
        <v>0</v>
      </c>
      <c r="F385" s="158">
        <v>8000</v>
      </c>
      <c r="G385" s="158">
        <v>2300</v>
      </c>
      <c r="H385" s="136">
        <v>8000</v>
      </c>
      <c r="I385" s="158">
        <v>8000</v>
      </c>
      <c r="J385" s="158">
        <v>8000</v>
      </c>
    </row>
    <row r="386" spans="1:10" ht="18" customHeight="1" x14ac:dyDescent="0.2">
      <c r="A386" s="156" t="s">
        <v>298</v>
      </c>
      <c r="B386" s="156"/>
      <c r="C386" s="156"/>
      <c r="D386" s="156"/>
      <c r="E386" s="157">
        <f t="shared" ref="E386:J386" si="62">SUM(E377:E385)</f>
        <v>6810421.1999999993</v>
      </c>
      <c r="F386" s="264">
        <f t="shared" si="62"/>
        <v>7491000</v>
      </c>
      <c r="G386" s="157">
        <f t="shared" si="62"/>
        <v>7177500</v>
      </c>
      <c r="H386" s="157">
        <f t="shared" si="62"/>
        <v>7291000</v>
      </c>
      <c r="I386" s="157">
        <f t="shared" si="62"/>
        <v>7291000</v>
      </c>
      <c r="J386" s="157">
        <f t="shared" si="62"/>
        <v>7291000</v>
      </c>
    </row>
    <row r="387" spans="1:10" x14ac:dyDescent="0.2">
      <c r="A387" s="159" t="s">
        <v>299</v>
      </c>
      <c r="B387" s="159"/>
      <c r="C387" s="159"/>
      <c r="D387" s="159"/>
      <c r="E387" s="160">
        <f t="shared" ref="E387:J387" si="63">SUM(E375,E386)</f>
        <v>7160670.7499999991</v>
      </c>
      <c r="F387" s="160">
        <f t="shared" si="63"/>
        <v>7852400</v>
      </c>
      <c r="G387" s="160">
        <f t="shared" si="63"/>
        <v>7506000</v>
      </c>
      <c r="H387" s="160">
        <f t="shared" si="63"/>
        <v>7644800</v>
      </c>
      <c r="I387" s="160">
        <f t="shared" si="63"/>
        <v>7648600</v>
      </c>
      <c r="J387" s="160">
        <f t="shared" si="63"/>
        <v>7653900</v>
      </c>
    </row>
    <row r="388" spans="1:10" x14ac:dyDescent="0.2">
      <c r="A388" s="129"/>
      <c r="B388" s="129"/>
      <c r="C388" s="129"/>
      <c r="D388" s="129"/>
      <c r="E388" s="129"/>
      <c r="F388" s="129"/>
      <c r="G388" s="129"/>
      <c r="H388" s="129"/>
      <c r="I388" s="129"/>
      <c r="J388" s="190"/>
    </row>
    <row r="389" spans="1:10" ht="15" customHeight="1" x14ac:dyDescent="0.2">
      <c r="A389" s="162" t="s">
        <v>15</v>
      </c>
      <c r="B389" s="162"/>
      <c r="C389" s="162"/>
      <c r="D389" s="162"/>
      <c r="E389" s="162"/>
      <c r="F389" s="162"/>
      <c r="G389" s="162"/>
      <c r="H389" s="162"/>
      <c r="I389" s="162"/>
      <c r="J389" s="162"/>
    </row>
    <row r="390" spans="1:10" ht="18.75" customHeight="1" x14ac:dyDescent="0.2">
      <c r="A390" s="131" t="s">
        <v>242</v>
      </c>
      <c r="B390" s="131"/>
      <c r="C390" s="131"/>
      <c r="D390" s="131"/>
      <c r="E390" s="128" t="str">
        <f t="shared" ref="E390:J390" si="64">E34</f>
        <v>Actuals           2014-2015</v>
      </c>
      <c r="F390" s="128" t="str">
        <f t="shared" si="64"/>
        <v>Approved Estimates          2015-2016</v>
      </c>
      <c r="G390" s="128" t="str">
        <f t="shared" si="64"/>
        <v>Revised Estimates                 2015-2016</v>
      </c>
      <c r="H390" s="128" t="str">
        <f t="shared" si="64"/>
        <v>Budget Estimates      2016-2017</v>
      </c>
      <c r="I390" s="128" t="str">
        <f t="shared" si="64"/>
        <v>Forward Estimates     2017-2018</v>
      </c>
      <c r="J390" s="128" t="str">
        <f t="shared" si="64"/>
        <v>Forward Estimates     2018-2019</v>
      </c>
    </row>
    <row r="391" spans="1:10" x14ac:dyDescent="0.2">
      <c r="A391" s="130" t="s">
        <v>243</v>
      </c>
      <c r="B391" s="130" t="s">
        <v>244</v>
      </c>
      <c r="C391" s="131" t="s">
        <v>245</v>
      </c>
      <c r="D391" s="131"/>
      <c r="E391" s="101"/>
      <c r="F391" s="101"/>
      <c r="G391" s="101"/>
      <c r="H391" s="101"/>
      <c r="I391" s="101"/>
      <c r="J391" s="101"/>
    </row>
    <row r="392" spans="1:10" ht="15" customHeight="1" x14ac:dyDescent="0.2">
      <c r="A392" s="163"/>
      <c r="B392" s="163"/>
      <c r="C392" s="156"/>
      <c r="D392" s="156"/>
      <c r="E392" s="158"/>
      <c r="F392" s="209"/>
      <c r="G392" s="158"/>
      <c r="H392" s="136"/>
      <c r="I392" s="158"/>
      <c r="J392" s="135"/>
    </row>
    <row r="393" spans="1:10" ht="14.25" customHeight="1" x14ac:dyDescent="0.2">
      <c r="A393" s="137" t="s">
        <v>15</v>
      </c>
      <c r="B393" s="137"/>
      <c r="C393" s="137"/>
      <c r="D393" s="137"/>
      <c r="E393" s="138">
        <v>0</v>
      </c>
      <c r="F393" s="138">
        <v>0</v>
      </c>
      <c r="G393" s="138">
        <v>0</v>
      </c>
      <c r="H393" s="138">
        <v>0</v>
      </c>
      <c r="I393" s="138">
        <v>0</v>
      </c>
      <c r="J393" s="138">
        <v>0</v>
      </c>
    </row>
    <row r="394" spans="1:10" ht="14.25" customHeight="1" x14ac:dyDescent="0.2">
      <c r="A394" s="290"/>
      <c r="B394" s="290"/>
      <c r="C394" s="290"/>
      <c r="D394" s="290"/>
      <c r="E394" s="290"/>
      <c r="F394" s="290"/>
      <c r="G394" s="290"/>
      <c r="H394" s="290"/>
      <c r="I394" s="290"/>
      <c r="J394" s="290"/>
    </row>
    <row r="395" spans="1:10" ht="14.25" customHeight="1" x14ac:dyDescent="0.2">
      <c r="A395" s="161" t="s">
        <v>288</v>
      </c>
      <c r="B395" s="161"/>
      <c r="C395" s="161"/>
      <c r="D395" s="161"/>
      <c r="E395" s="161"/>
      <c r="F395" s="202"/>
      <c r="G395" s="202"/>
      <c r="H395" s="202"/>
      <c r="I395" s="202"/>
      <c r="J395" s="202"/>
    </row>
    <row r="396" spans="1:10" ht="15" customHeight="1" x14ac:dyDescent="0.2">
      <c r="A396" s="131" t="s">
        <v>300</v>
      </c>
      <c r="B396" s="131"/>
      <c r="C396" s="131"/>
      <c r="D396" s="132" t="s">
        <v>301</v>
      </c>
      <c r="E396" s="132" t="s">
        <v>302</v>
      </c>
      <c r="F396" s="131" t="s">
        <v>300</v>
      </c>
      <c r="G396" s="131"/>
      <c r="H396" s="131"/>
      <c r="I396" s="132" t="s">
        <v>301</v>
      </c>
      <c r="J396" s="132" t="s">
        <v>302</v>
      </c>
    </row>
    <row r="397" spans="1:10" x14ac:dyDescent="0.2">
      <c r="A397" s="334" t="str">
        <f>Establishment!D128</f>
        <v>Director</v>
      </c>
      <c r="B397" s="334"/>
      <c r="C397" s="334"/>
      <c r="D397" s="133" t="str">
        <f>Establishment!E128</f>
        <v>R7</v>
      </c>
      <c r="E397" s="133">
        <f>Establishment!C128</f>
        <v>1</v>
      </c>
      <c r="F397" s="334" t="str">
        <f>Establishment!D131</f>
        <v>Clerical Officer (Snr)</v>
      </c>
      <c r="G397" s="334"/>
      <c r="H397" s="334"/>
      <c r="I397" s="133" t="str">
        <f>Establishment!E131</f>
        <v>R33-29</v>
      </c>
      <c r="J397" s="133">
        <f>Establishment!C131</f>
        <v>1</v>
      </c>
    </row>
    <row r="398" spans="1:10" x14ac:dyDescent="0.2">
      <c r="A398" s="334" t="str">
        <f>Establishment!D129</f>
        <v>Assistant Secretary</v>
      </c>
      <c r="B398" s="334"/>
      <c r="C398" s="334"/>
      <c r="D398" s="133" t="str">
        <f>Establishment!E129</f>
        <v>R22-16</v>
      </c>
      <c r="E398" s="133">
        <f>Establishment!C129</f>
        <v>2</v>
      </c>
      <c r="F398" s="334" t="str">
        <f>Establishment!D132</f>
        <v>Clerical Officer</v>
      </c>
      <c r="G398" s="334"/>
      <c r="H398" s="334"/>
      <c r="I398" s="133" t="str">
        <f>Establishment!E132</f>
        <v>R46-34</v>
      </c>
      <c r="J398" s="133">
        <f>Establishment!C132</f>
        <v>1</v>
      </c>
    </row>
    <row r="399" spans="1:10" x14ac:dyDescent="0.2">
      <c r="A399" s="334" t="str">
        <f>Establishment!D130</f>
        <v>Executive Officer</v>
      </c>
      <c r="B399" s="334"/>
      <c r="C399" s="334"/>
      <c r="D399" s="133" t="str">
        <f>Establishment!E130</f>
        <v>R28-22</v>
      </c>
      <c r="E399" s="133">
        <f>Establishment!C130</f>
        <v>1</v>
      </c>
      <c r="F399" s="334" t="str">
        <f>Establishment!D133</f>
        <v>Driver/Technician</v>
      </c>
      <c r="G399" s="334"/>
      <c r="H399" s="334"/>
      <c r="I399" s="133" t="str">
        <f>Establishment!E133</f>
        <v>R46-34</v>
      </c>
      <c r="J399" s="133">
        <f>Establishment!C133</f>
        <v>1</v>
      </c>
    </row>
    <row r="400" spans="1:10" x14ac:dyDescent="0.2">
      <c r="A400" s="203" t="s">
        <v>303</v>
      </c>
      <c r="B400" s="203"/>
      <c r="C400" s="203"/>
      <c r="D400" s="203"/>
      <c r="E400" s="203"/>
      <c r="F400" s="203"/>
      <c r="G400" s="203"/>
      <c r="H400" s="203"/>
      <c r="I400" s="203"/>
      <c r="J400" s="204">
        <f>SUM(E397:E399,J397:J399)</f>
        <v>7</v>
      </c>
    </row>
    <row r="401" spans="1:10" x14ac:dyDescent="0.2">
      <c r="A401" s="129"/>
      <c r="B401" s="129"/>
      <c r="C401" s="129"/>
      <c r="D401" s="129"/>
      <c r="E401" s="129"/>
      <c r="F401" s="179"/>
      <c r="G401" s="179"/>
      <c r="H401" s="179"/>
      <c r="I401" s="179"/>
      <c r="J401" s="179"/>
    </row>
    <row r="402" spans="1:10" x14ac:dyDescent="0.2">
      <c r="A402" s="180" t="s">
        <v>304</v>
      </c>
      <c r="B402" s="180"/>
      <c r="C402" s="180"/>
      <c r="D402" s="180"/>
      <c r="E402" s="180"/>
      <c r="F402" s="180"/>
      <c r="G402" s="180"/>
      <c r="H402" s="180"/>
      <c r="I402" s="180"/>
      <c r="J402" s="180"/>
    </row>
    <row r="403" spans="1:10" x14ac:dyDescent="0.2">
      <c r="A403" s="181" t="s">
        <v>305</v>
      </c>
      <c r="B403" s="181"/>
      <c r="C403" s="181"/>
      <c r="D403" s="181"/>
      <c r="E403" s="181"/>
      <c r="F403" s="181"/>
      <c r="G403" s="181"/>
      <c r="H403" s="181"/>
      <c r="I403" s="181"/>
      <c r="J403" s="181"/>
    </row>
    <row r="404" spans="1:10" ht="24" customHeight="1" x14ac:dyDescent="0.2">
      <c r="A404" s="356" t="s">
        <v>738</v>
      </c>
      <c r="B404" s="356"/>
      <c r="C404" s="356"/>
      <c r="D404" s="356"/>
      <c r="E404" s="356"/>
      <c r="F404" s="356"/>
      <c r="G404" s="356"/>
      <c r="H404" s="356"/>
      <c r="I404" s="356"/>
      <c r="J404" s="356"/>
    </row>
    <row r="405" spans="1:10" x14ac:dyDescent="0.2">
      <c r="A405" s="356" t="s">
        <v>739</v>
      </c>
      <c r="B405" s="356"/>
      <c r="C405" s="356"/>
      <c r="D405" s="356"/>
      <c r="E405" s="356"/>
      <c r="F405" s="356"/>
      <c r="G405" s="356"/>
      <c r="H405" s="356"/>
      <c r="I405" s="356"/>
      <c r="J405" s="356"/>
    </row>
    <row r="406" spans="1:10" ht="24" customHeight="1" x14ac:dyDescent="0.2">
      <c r="A406" s="356" t="s">
        <v>740</v>
      </c>
      <c r="B406" s="356"/>
      <c r="C406" s="356"/>
      <c r="D406" s="356"/>
      <c r="E406" s="356"/>
      <c r="F406" s="356"/>
      <c r="G406" s="356"/>
      <c r="H406" s="356"/>
      <c r="I406" s="356"/>
      <c r="J406" s="356"/>
    </row>
    <row r="407" spans="1:10" x14ac:dyDescent="0.2">
      <c r="A407" s="356" t="s">
        <v>741</v>
      </c>
      <c r="B407" s="356"/>
      <c r="C407" s="356"/>
      <c r="D407" s="356"/>
      <c r="E407" s="356"/>
      <c r="F407" s="356"/>
      <c r="G407" s="356"/>
      <c r="H407" s="356"/>
      <c r="I407" s="356"/>
      <c r="J407" s="356"/>
    </row>
    <row r="408" spans="1:10" x14ac:dyDescent="0.2">
      <c r="A408" s="356" t="s">
        <v>742</v>
      </c>
      <c r="B408" s="356"/>
      <c r="C408" s="356"/>
      <c r="D408" s="356"/>
      <c r="E408" s="356"/>
      <c r="F408" s="356"/>
      <c r="G408" s="356"/>
      <c r="H408" s="356"/>
      <c r="I408" s="356"/>
      <c r="J408" s="356"/>
    </row>
    <row r="409" spans="1:10" x14ac:dyDescent="0.2">
      <c r="A409" s="129" t="s">
        <v>743</v>
      </c>
      <c r="B409" s="129"/>
      <c r="C409" s="129"/>
      <c r="D409" s="129"/>
      <c r="E409" s="129"/>
      <c r="F409" s="129"/>
      <c r="G409" s="129"/>
      <c r="H409" s="129"/>
      <c r="I409" s="129"/>
      <c r="J409" s="129"/>
    </row>
    <row r="410" spans="1:10" x14ac:dyDescent="0.2">
      <c r="A410" s="129"/>
      <c r="B410" s="129"/>
      <c r="C410" s="129"/>
      <c r="D410" s="129"/>
      <c r="E410" s="129"/>
      <c r="F410" s="129"/>
      <c r="G410" s="129"/>
      <c r="H410" s="129"/>
      <c r="I410" s="129"/>
      <c r="J410" s="129"/>
    </row>
    <row r="411" spans="1:10" x14ac:dyDescent="0.2">
      <c r="A411" s="183" t="s">
        <v>415</v>
      </c>
      <c r="B411" s="183"/>
      <c r="C411" s="183"/>
      <c r="D411" s="183"/>
      <c r="E411" s="183"/>
      <c r="F411" s="183"/>
      <c r="G411" s="183"/>
      <c r="H411" s="183"/>
      <c r="I411" s="183"/>
      <c r="J411" s="183"/>
    </row>
    <row r="412" spans="1:10" ht="24" customHeight="1" x14ac:dyDescent="0.2">
      <c r="A412" s="129" t="s">
        <v>744</v>
      </c>
      <c r="B412" s="129"/>
      <c r="C412" s="129"/>
      <c r="D412" s="129"/>
      <c r="E412" s="129"/>
      <c r="F412" s="129"/>
      <c r="G412" s="129"/>
      <c r="H412" s="129"/>
      <c r="I412" s="129"/>
      <c r="J412" s="129"/>
    </row>
    <row r="413" spans="1:10" x14ac:dyDescent="0.2">
      <c r="A413" s="129" t="s">
        <v>743</v>
      </c>
      <c r="B413" s="129"/>
      <c r="C413" s="129"/>
      <c r="D413" s="129"/>
      <c r="E413" s="129"/>
      <c r="F413" s="129"/>
      <c r="G413" s="129"/>
      <c r="H413" s="129"/>
      <c r="I413" s="129"/>
      <c r="J413" s="129"/>
    </row>
    <row r="414" spans="1:10" x14ac:dyDescent="0.2">
      <c r="A414" s="129"/>
      <c r="B414" s="129"/>
      <c r="C414" s="129"/>
      <c r="D414" s="129"/>
      <c r="E414" s="129"/>
      <c r="F414" s="129"/>
      <c r="G414" s="129"/>
      <c r="H414" s="129"/>
      <c r="I414" s="129"/>
      <c r="J414" s="129"/>
    </row>
    <row r="415" spans="1:10" ht="22.5" x14ac:dyDescent="0.2">
      <c r="A415" s="180" t="s">
        <v>315</v>
      </c>
      <c r="B415" s="180"/>
      <c r="C415" s="180"/>
      <c r="D415" s="180"/>
      <c r="E415" s="180"/>
      <c r="F415" s="184" t="str">
        <f>F280</f>
        <v xml:space="preserve"> Actual 2013/14</v>
      </c>
      <c r="G415" s="184" t="str">
        <f>G280</f>
        <v xml:space="preserve"> Estimate 2014/15</v>
      </c>
      <c r="H415" s="184" t="str">
        <f>H280</f>
        <v xml:space="preserve"> Target 2015/16</v>
      </c>
      <c r="I415" s="184" t="str">
        <f>I280</f>
        <v xml:space="preserve"> Target 2016/17</v>
      </c>
      <c r="J415" s="184" t="str">
        <f>J280</f>
        <v xml:space="preserve"> Target 2017/18</v>
      </c>
    </row>
    <row r="416" spans="1:10" x14ac:dyDescent="0.2">
      <c r="A416" s="180" t="s">
        <v>316</v>
      </c>
      <c r="B416" s="180"/>
      <c r="C416" s="180"/>
      <c r="D416" s="180"/>
      <c r="E416" s="180"/>
      <c r="F416" s="180"/>
      <c r="G416" s="180"/>
      <c r="H416" s="180"/>
      <c r="I416" s="180"/>
      <c r="J416" s="180"/>
    </row>
    <row r="417" spans="1:10" x14ac:dyDescent="0.2">
      <c r="A417" s="356" t="s">
        <v>745</v>
      </c>
      <c r="B417" s="356"/>
      <c r="C417" s="356"/>
      <c r="D417" s="356"/>
      <c r="E417" s="356"/>
      <c r="F417" s="272">
        <v>6</v>
      </c>
      <c r="G417" s="272">
        <v>6</v>
      </c>
      <c r="H417" s="272">
        <v>6</v>
      </c>
      <c r="I417" s="272">
        <v>6</v>
      </c>
      <c r="J417" s="272">
        <v>6</v>
      </c>
    </row>
    <row r="418" spans="1:10" x14ac:dyDescent="0.2">
      <c r="A418" s="356" t="s">
        <v>746</v>
      </c>
      <c r="B418" s="356"/>
      <c r="C418" s="356"/>
      <c r="D418" s="356"/>
      <c r="E418" s="356"/>
      <c r="F418" s="272"/>
      <c r="G418" s="272" t="s">
        <v>747</v>
      </c>
      <c r="H418" s="272">
        <v>5</v>
      </c>
      <c r="I418" s="272">
        <v>5</v>
      </c>
      <c r="J418" s="272">
        <v>5</v>
      </c>
    </row>
    <row r="419" spans="1:10" x14ac:dyDescent="0.2">
      <c r="A419" s="356" t="s">
        <v>748</v>
      </c>
      <c r="B419" s="356"/>
      <c r="C419" s="356"/>
      <c r="D419" s="356"/>
      <c r="E419" s="356"/>
      <c r="F419" s="270"/>
      <c r="G419" s="270"/>
      <c r="H419" s="270">
        <v>1</v>
      </c>
      <c r="I419" s="270">
        <v>1</v>
      </c>
      <c r="J419" s="270">
        <v>1</v>
      </c>
    </row>
    <row r="420" spans="1:10" x14ac:dyDescent="0.2">
      <c r="A420" s="188"/>
      <c r="B420" s="188"/>
      <c r="C420" s="188"/>
      <c r="D420" s="188"/>
      <c r="E420" s="188"/>
      <c r="F420" s="273"/>
      <c r="G420" s="190"/>
      <c r="H420" s="190"/>
      <c r="I420" s="190"/>
      <c r="J420" s="190"/>
    </row>
    <row r="421" spans="1:10" ht="24.75" customHeight="1" x14ac:dyDescent="0.2">
      <c r="A421" s="180" t="s">
        <v>324</v>
      </c>
      <c r="B421" s="180"/>
      <c r="C421" s="180"/>
      <c r="D421" s="180"/>
      <c r="E421" s="180"/>
      <c r="F421" s="180"/>
      <c r="G421" s="180"/>
      <c r="H421" s="180"/>
      <c r="I421" s="180"/>
      <c r="J421" s="180"/>
    </row>
    <row r="422" spans="1:10" ht="14.25" customHeight="1" x14ac:dyDescent="0.2">
      <c r="A422" s="356" t="s">
        <v>749</v>
      </c>
      <c r="B422" s="356"/>
      <c r="C422" s="356"/>
      <c r="D422" s="356"/>
      <c r="E422" s="356"/>
      <c r="F422" s="272"/>
      <c r="G422" s="272" t="s">
        <v>750</v>
      </c>
      <c r="H422" s="272" t="s">
        <v>751</v>
      </c>
      <c r="I422" s="272" t="s">
        <v>523</v>
      </c>
      <c r="J422" s="272" t="s">
        <v>523</v>
      </c>
    </row>
    <row r="423" spans="1:10" ht="14.25" customHeight="1" x14ac:dyDescent="0.2">
      <c r="A423" s="356" t="s">
        <v>752</v>
      </c>
      <c r="B423" s="356"/>
      <c r="C423" s="356"/>
      <c r="D423" s="356"/>
      <c r="E423" s="356"/>
      <c r="F423" s="272"/>
      <c r="G423" s="272"/>
      <c r="H423" s="270">
        <v>1</v>
      </c>
      <c r="I423" s="270">
        <v>1</v>
      </c>
      <c r="J423" s="270">
        <v>1</v>
      </c>
    </row>
    <row r="424" spans="1:10" ht="14.25" customHeight="1" x14ac:dyDescent="0.2">
      <c r="A424" s="356" t="s">
        <v>753</v>
      </c>
      <c r="B424" s="356"/>
      <c r="C424" s="356"/>
      <c r="D424" s="356"/>
      <c r="E424" s="356"/>
      <c r="F424" s="272"/>
      <c r="G424" s="272" t="s">
        <v>754</v>
      </c>
      <c r="H424" s="270">
        <v>0.5</v>
      </c>
      <c r="I424" s="270">
        <v>0.75</v>
      </c>
      <c r="J424" s="270">
        <v>0.89</v>
      </c>
    </row>
    <row r="425" spans="1:10" ht="23.25" customHeight="1" x14ac:dyDescent="0.2">
      <c r="A425" s="356" t="s">
        <v>755</v>
      </c>
      <c r="B425" s="356"/>
      <c r="C425" s="356"/>
      <c r="D425" s="356"/>
      <c r="E425" s="356"/>
      <c r="F425" s="272"/>
      <c r="G425" s="272" t="s">
        <v>486</v>
      </c>
      <c r="H425" s="270">
        <v>0.8</v>
      </c>
      <c r="I425" s="270">
        <v>0.9</v>
      </c>
      <c r="J425" s="270">
        <v>1</v>
      </c>
    </row>
    <row r="426" spans="1:10" x14ac:dyDescent="0.2">
      <c r="A426" s="356" t="s">
        <v>756</v>
      </c>
      <c r="B426" s="356"/>
      <c r="C426" s="356"/>
      <c r="D426" s="356"/>
      <c r="E426" s="356"/>
      <c r="F426" s="272"/>
      <c r="G426" s="272"/>
      <c r="H426" s="272" t="s">
        <v>757</v>
      </c>
      <c r="I426" s="272" t="s">
        <v>757</v>
      </c>
      <c r="J426" s="272" t="s">
        <v>757</v>
      </c>
    </row>
    <row r="427" spans="1:10" x14ac:dyDescent="0.2">
      <c r="A427" s="129"/>
      <c r="B427" s="129"/>
      <c r="C427" s="129"/>
      <c r="D427" s="129"/>
      <c r="E427" s="129"/>
      <c r="F427" s="129"/>
      <c r="G427" s="129"/>
      <c r="H427" s="129"/>
      <c r="I427" s="129"/>
      <c r="J427" s="129"/>
    </row>
    <row r="428" spans="1:10" ht="15" customHeight="1" x14ac:dyDescent="0.2">
      <c r="A428" s="150" t="s">
        <v>758</v>
      </c>
      <c r="B428" s="150"/>
      <c r="C428" s="150"/>
      <c r="D428" s="150"/>
      <c r="E428" s="150"/>
      <c r="F428" s="150"/>
      <c r="G428" s="150"/>
      <c r="H428" s="150"/>
      <c r="I428" s="150"/>
      <c r="J428" s="150"/>
    </row>
    <row r="429" spans="1:10" x14ac:dyDescent="0.2">
      <c r="A429" s="151" t="s">
        <v>291</v>
      </c>
      <c r="B429" s="151"/>
      <c r="C429" s="151"/>
      <c r="D429" s="101"/>
      <c r="E429" s="101"/>
      <c r="F429" s="101"/>
      <c r="G429" s="101"/>
      <c r="H429" s="101"/>
      <c r="I429" s="101"/>
      <c r="J429" s="101"/>
    </row>
    <row r="430" spans="1:10" ht="24" customHeight="1" x14ac:dyDescent="0.2">
      <c r="A430" s="129" t="s">
        <v>759</v>
      </c>
      <c r="B430" s="129"/>
      <c r="C430" s="129"/>
      <c r="D430" s="129"/>
      <c r="E430" s="129"/>
      <c r="F430" s="129"/>
      <c r="G430" s="129"/>
      <c r="H430" s="129"/>
      <c r="I430" s="129"/>
      <c r="J430" s="129"/>
    </row>
    <row r="431" spans="1:10" x14ac:dyDescent="0.2">
      <c r="A431" s="128" t="s">
        <v>293</v>
      </c>
      <c r="B431" s="128"/>
      <c r="C431" s="128"/>
      <c r="D431" s="128"/>
      <c r="E431" s="128"/>
      <c r="F431" s="128"/>
      <c r="G431" s="128"/>
      <c r="H431" s="128"/>
      <c r="I431" s="128"/>
      <c r="J431" s="128"/>
    </row>
    <row r="432" spans="1:10" ht="33.75" x14ac:dyDescent="0.2">
      <c r="A432" s="152" t="s">
        <v>243</v>
      </c>
      <c r="B432" s="151" t="s">
        <v>242</v>
      </c>
      <c r="C432" s="151"/>
      <c r="D432" s="151"/>
      <c r="E432" s="132" t="str">
        <f t="shared" ref="E432:J432" si="65">E34</f>
        <v>Actuals           2014-2015</v>
      </c>
      <c r="F432" s="132" t="str">
        <f t="shared" si="65"/>
        <v>Approved Estimates          2015-2016</v>
      </c>
      <c r="G432" s="132" t="str">
        <f t="shared" si="65"/>
        <v>Revised Estimates                 2015-2016</v>
      </c>
      <c r="H432" s="132" t="str">
        <f t="shared" si="65"/>
        <v>Budget Estimates      2016-2017</v>
      </c>
      <c r="I432" s="132" t="str">
        <f t="shared" si="65"/>
        <v>Forward Estimates     2017-2018</v>
      </c>
      <c r="J432" s="132" t="str">
        <f t="shared" si="65"/>
        <v>Forward Estimates     2018-2019</v>
      </c>
    </row>
    <row r="433" spans="1:10" ht="15" customHeight="1" x14ac:dyDescent="0.2">
      <c r="A433" s="133"/>
      <c r="B433" s="134"/>
      <c r="C433" s="134"/>
      <c r="D433" s="134"/>
      <c r="E433" s="135"/>
      <c r="F433" s="262"/>
      <c r="G433" s="135"/>
      <c r="H433" s="136"/>
      <c r="I433" s="158"/>
      <c r="J433" s="158"/>
    </row>
    <row r="434" spans="1:10" x14ac:dyDescent="0.2">
      <c r="A434" s="137" t="s">
        <v>627</v>
      </c>
      <c r="B434" s="137"/>
      <c r="C434" s="137"/>
      <c r="D434" s="137"/>
      <c r="E434" s="138">
        <f t="shared" ref="E434:J434" si="66">SUM(E433:E433)</f>
        <v>0</v>
      </c>
      <c r="F434" s="138">
        <f t="shared" si="66"/>
        <v>0</v>
      </c>
      <c r="G434" s="138">
        <f t="shared" si="66"/>
        <v>0</v>
      </c>
      <c r="H434" s="138">
        <f t="shared" si="66"/>
        <v>0</v>
      </c>
      <c r="I434" s="138">
        <f t="shared" si="66"/>
        <v>0</v>
      </c>
      <c r="J434" s="138">
        <f t="shared" si="66"/>
        <v>0</v>
      </c>
    </row>
    <row r="435" spans="1:10" x14ac:dyDescent="0.2">
      <c r="A435" s="129"/>
      <c r="B435" s="129"/>
      <c r="C435" s="129"/>
      <c r="D435" s="129"/>
      <c r="E435" s="129"/>
      <c r="F435" s="129"/>
      <c r="G435" s="129"/>
      <c r="H435" s="129"/>
      <c r="I435" s="129"/>
      <c r="J435" s="129"/>
    </row>
    <row r="436" spans="1:10" x14ac:dyDescent="0.2">
      <c r="A436" s="128" t="s">
        <v>284</v>
      </c>
      <c r="B436" s="128"/>
      <c r="C436" s="128"/>
      <c r="D436" s="128"/>
      <c r="E436" s="128"/>
      <c r="F436" s="128"/>
      <c r="G436" s="128"/>
      <c r="H436" s="128"/>
      <c r="I436" s="128"/>
      <c r="J436" s="128"/>
    </row>
    <row r="437" spans="1:10" ht="33.75" x14ac:dyDescent="0.2">
      <c r="A437" s="152" t="s">
        <v>243</v>
      </c>
      <c r="B437" s="151" t="s">
        <v>242</v>
      </c>
      <c r="C437" s="151"/>
      <c r="D437" s="151"/>
      <c r="E437" s="132" t="str">
        <f t="shared" ref="E437:J437" si="67">E34</f>
        <v>Actuals           2014-2015</v>
      </c>
      <c r="F437" s="132" t="str">
        <f t="shared" si="67"/>
        <v>Approved Estimates          2015-2016</v>
      </c>
      <c r="G437" s="132" t="str">
        <f t="shared" si="67"/>
        <v>Revised Estimates                 2015-2016</v>
      </c>
      <c r="H437" s="132" t="str">
        <f t="shared" si="67"/>
        <v>Budget Estimates      2016-2017</v>
      </c>
      <c r="I437" s="132" t="str">
        <f t="shared" si="67"/>
        <v>Forward Estimates     2017-2018</v>
      </c>
      <c r="J437" s="132" t="str">
        <f t="shared" si="67"/>
        <v>Forward Estimates     2018-2019</v>
      </c>
    </row>
    <row r="438" spans="1:10" x14ac:dyDescent="0.2">
      <c r="A438" s="151" t="s">
        <v>7</v>
      </c>
      <c r="B438" s="151"/>
      <c r="C438" s="151"/>
      <c r="D438" s="151"/>
      <c r="E438" s="151"/>
      <c r="F438" s="151"/>
      <c r="G438" s="151"/>
      <c r="H438" s="151"/>
      <c r="I438" s="151"/>
      <c r="J438" s="190"/>
    </row>
    <row r="439" spans="1:10" x14ac:dyDescent="0.2">
      <c r="A439" s="133">
        <v>210</v>
      </c>
      <c r="B439" s="134" t="s">
        <v>7</v>
      </c>
      <c r="C439" s="134"/>
      <c r="D439" s="134"/>
      <c r="E439" s="135">
        <v>167165.26</v>
      </c>
      <c r="F439" s="262">
        <v>175700</v>
      </c>
      <c r="G439" s="135">
        <v>169000</v>
      </c>
      <c r="H439" s="136">
        <v>181100</v>
      </c>
      <c r="I439" s="158">
        <v>182600</v>
      </c>
      <c r="J439" s="158">
        <v>184200</v>
      </c>
    </row>
    <row r="440" spans="1:10" x14ac:dyDescent="0.2">
      <c r="A440" s="133">
        <v>212</v>
      </c>
      <c r="B440" s="134" t="s">
        <v>9</v>
      </c>
      <c r="C440" s="134"/>
      <c r="D440" s="134"/>
      <c r="E440" s="135">
        <v>82443.070000000007</v>
      </c>
      <c r="F440" s="262">
        <v>88200</v>
      </c>
      <c r="G440" s="135">
        <v>86000</v>
      </c>
      <c r="H440" s="136">
        <v>88200</v>
      </c>
      <c r="I440" s="158">
        <v>88200</v>
      </c>
      <c r="J440" s="158">
        <v>88200</v>
      </c>
    </row>
    <row r="441" spans="1:10" x14ac:dyDescent="0.2">
      <c r="A441" s="133">
        <v>216</v>
      </c>
      <c r="B441" s="134" t="s">
        <v>10</v>
      </c>
      <c r="C441" s="134"/>
      <c r="D441" s="134"/>
      <c r="E441" s="135">
        <v>23138.04</v>
      </c>
      <c r="F441" s="262">
        <v>23200</v>
      </c>
      <c r="G441" s="135">
        <v>21400</v>
      </c>
      <c r="H441" s="136">
        <v>23200</v>
      </c>
      <c r="I441" s="158">
        <v>23200</v>
      </c>
      <c r="J441" s="158">
        <v>23200</v>
      </c>
    </row>
    <row r="442" spans="1:10" x14ac:dyDescent="0.2">
      <c r="A442" s="133">
        <v>218</v>
      </c>
      <c r="B442" s="134" t="s">
        <v>294</v>
      </c>
      <c r="C442" s="134"/>
      <c r="D442" s="134"/>
      <c r="E442" s="135">
        <v>0</v>
      </c>
      <c r="F442" s="262">
        <v>9400</v>
      </c>
      <c r="G442" s="135">
        <v>0</v>
      </c>
      <c r="H442" s="136">
        <v>0</v>
      </c>
      <c r="I442" s="158">
        <v>9400</v>
      </c>
      <c r="J442" s="158">
        <v>0</v>
      </c>
    </row>
    <row r="443" spans="1:10" x14ac:dyDescent="0.2">
      <c r="A443" s="156" t="s">
        <v>295</v>
      </c>
      <c r="B443" s="156"/>
      <c r="C443" s="156"/>
      <c r="D443" s="156"/>
      <c r="E443" s="157">
        <f t="shared" ref="E443:J443" si="68">SUM(E439:E442)</f>
        <v>272746.37</v>
      </c>
      <c r="F443" s="157">
        <f t="shared" si="68"/>
        <v>296500</v>
      </c>
      <c r="G443" s="157">
        <f t="shared" si="68"/>
        <v>276400</v>
      </c>
      <c r="H443" s="157">
        <f t="shared" si="68"/>
        <v>292500</v>
      </c>
      <c r="I443" s="157">
        <f t="shared" si="68"/>
        <v>303400</v>
      </c>
      <c r="J443" s="157">
        <f t="shared" si="68"/>
        <v>295600</v>
      </c>
    </row>
    <row r="444" spans="1:10" ht="18" customHeight="1" x14ac:dyDescent="0.2">
      <c r="A444" s="156" t="s">
        <v>296</v>
      </c>
      <c r="B444" s="156"/>
      <c r="C444" s="156"/>
      <c r="D444" s="156"/>
      <c r="E444" s="156"/>
      <c r="F444" s="156"/>
      <c r="G444" s="156"/>
      <c r="H444" s="156"/>
      <c r="I444" s="156"/>
      <c r="J444" s="190"/>
    </row>
    <row r="445" spans="1:10" x14ac:dyDescent="0.2">
      <c r="A445" s="133">
        <v>226</v>
      </c>
      <c r="B445" s="134" t="s">
        <v>207</v>
      </c>
      <c r="C445" s="134"/>
      <c r="D445" s="134"/>
      <c r="E445" s="135">
        <v>12405.82</v>
      </c>
      <c r="F445" s="158">
        <v>12000</v>
      </c>
      <c r="G445" s="158">
        <v>12000</v>
      </c>
      <c r="H445" s="136">
        <v>12000</v>
      </c>
      <c r="I445" s="158">
        <v>12000</v>
      </c>
      <c r="J445" s="158">
        <v>12000</v>
      </c>
    </row>
    <row r="446" spans="1:10" x14ac:dyDescent="0.2">
      <c r="A446" s="133">
        <v>228</v>
      </c>
      <c r="B446" s="134" t="s">
        <v>208</v>
      </c>
      <c r="C446" s="134"/>
      <c r="D446" s="134"/>
      <c r="E446" s="135">
        <v>7985.75</v>
      </c>
      <c r="F446" s="158">
        <v>10000</v>
      </c>
      <c r="G446" s="158">
        <v>10000</v>
      </c>
      <c r="H446" s="136">
        <v>10000</v>
      </c>
      <c r="I446" s="158">
        <v>10000</v>
      </c>
      <c r="J446" s="158">
        <v>10000</v>
      </c>
    </row>
    <row r="447" spans="1:10" x14ac:dyDescent="0.2">
      <c r="A447" s="133">
        <v>230</v>
      </c>
      <c r="B447" s="134" t="s">
        <v>760</v>
      </c>
      <c r="C447" s="134"/>
      <c r="D447" s="134"/>
      <c r="E447" s="135">
        <v>1065</v>
      </c>
      <c r="F447" s="158">
        <v>2000</v>
      </c>
      <c r="G447" s="158">
        <v>1400</v>
      </c>
      <c r="H447" s="136">
        <v>2000</v>
      </c>
      <c r="I447" s="158">
        <v>2000</v>
      </c>
      <c r="J447" s="158">
        <v>2000</v>
      </c>
    </row>
    <row r="448" spans="1:10" ht="15" customHeight="1" x14ac:dyDescent="0.2">
      <c r="A448" s="133">
        <v>232</v>
      </c>
      <c r="B448" s="134" t="s">
        <v>211</v>
      </c>
      <c r="C448" s="134"/>
      <c r="D448" s="134"/>
      <c r="E448" s="135">
        <v>8428.18</v>
      </c>
      <c r="F448" s="158">
        <v>10000</v>
      </c>
      <c r="G448" s="158">
        <v>7300</v>
      </c>
      <c r="H448" s="136">
        <v>10000</v>
      </c>
      <c r="I448" s="158">
        <v>10000</v>
      </c>
      <c r="J448" s="158">
        <v>10000</v>
      </c>
    </row>
    <row r="449" spans="1:10" x14ac:dyDescent="0.2">
      <c r="A449" s="133">
        <v>275</v>
      </c>
      <c r="B449" s="134" t="s">
        <v>228</v>
      </c>
      <c r="C449" s="134"/>
      <c r="D449" s="134"/>
      <c r="E449" s="135">
        <v>945</v>
      </c>
      <c r="F449" s="158">
        <v>1200</v>
      </c>
      <c r="G449" s="158">
        <v>800</v>
      </c>
      <c r="H449" s="136">
        <v>1200</v>
      </c>
      <c r="I449" s="158">
        <v>1200</v>
      </c>
      <c r="J449" s="158">
        <v>1200</v>
      </c>
    </row>
    <row r="450" spans="1:10" ht="15" customHeight="1" x14ac:dyDescent="0.2">
      <c r="A450" s="156" t="s">
        <v>298</v>
      </c>
      <c r="B450" s="156"/>
      <c r="C450" s="156"/>
      <c r="D450" s="156"/>
      <c r="E450" s="157">
        <f t="shared" ref="E450:J450" si="69">SUM(E445:E449)</f>
        <v>30829.75</v>
      </c>
      <c r="F450" s="264">
        <f t="shared" si="69"/>
        <v>35200</v>
      </c>
      <c r="G450" s="157">
        <f t="shared" si="69"/>
        <v>31500</v>
      </c>
      <c r="H450" s="157">
        <f>SUM(H445:H449)</f>
        <v>35200</v>
      </c>
      <c r="I450" s="157">
        <f t="shared" si="69"/>
        <v>35200</v>
      </c>
      <c r="J450" s="157">
        <f t="shared" si="69"/>
        <v>35200</v>
      </c>
    </row>
    <row r="451" spans="1:10" ht="15" customHeight="1" x14ac:dyDescent="0.2">
      <c r="A451" s="159" t="s">
        <v>299</v>
      </c>
      <c r="B451" s="159"/>
      <c r="C451" s="159"/>
      <c r="D451" s="159"/>
      <c r="E451" s="160">
        <f t="shared" ref="E451:J451" si="70">SUM(E443,E450)</f>
        <v>303576.12</v>
      </c>
      <c r="F451" s="160">
        <f t="shared" si="70"/>
        <v>331700</v>
      </c>
      <c r="G451" s="160">
        <f t="shared" si="70"/>
        <v>307900</v>
      </c>
      <c r="H451" s="160">
        <f t="shared" si="70"/>
        <v>327700</v>
      </c>
      <c r="I451" s="160">
        <f t="shared" si="70"/>
        <v>338600</v>
      </c>
      <c r="J451" s="160">
        <f t="shared" si="70"/>
        <v>330800</v>
      </c>
    </row>
    <row r="452" spans="1:10" ht="15" customHeight="1" x14ac:dyDescent="0.2">
      <c r="A452" s="129"/>
      <c r="B452" s="129"/>
      <c r="C452" s="129"/>
      <c r="D452" s="129"/>
      <c r="E452" s="129"/>
      <c r="F452" s="129"/>
      <c r="G452" s="129"/>
      <c r="H452" s="129"/>
      <c r="I452" s="129"/>
      <c r="J452" s="190"/>
    </row>
    <row r="453" spans="1:10" ht="15" customHeight="1" x14ac:dyDescent="0.2">
      <c r="A453" s="162" t="s">
        <v>15</v>
      </c>
      <c r="B453" s="162"/>
      <c r="C453" s="162"/>
      <c r="D453" s="162"/>
      <c r="E453" s="162"/>
      <c r="F453" s="162"/>
      <c r="G453" s="162"/>
      <c r="H453" s="162"/>
      <c r="I453" s="162"/>
      <c r="J453" s="162"/>
    </row>
    <row r="454" spans="1:10" ht="20.25" customHeight="1" x14ac:dyDescent="0.2">
      <c r="A454" s="131" t="s">
        <v>242</v>
      </c>
      <c r="B454" s="131"/>
      <c r="C454" s="131"/>
      <c r="D454" s="131"/>
      <c r="E454" s="128" t="str">
        <f t="shared" ref="E454:J454" si="71">E34</f>
        <v>Actuals           2014-2015</v>
      </c>
      <c r="F454" s="128" t="str">
        <f t="shared" si="71"/>
        <v>Approved Estimates          2015-2016</v>
      </c>
      <c r="G454" s="128" t="str">
        <f t="shared" si="71"/>
        <v>Revised Estimates                 2015-2016</v>
      </c>
      <c r="H454" s="128" t="str">
        <f t="shared" si="71"/>
        <v>Budget Estimates      2016-2017</v>
      </c>
      <c r="I454" s="128" t="str">
        <f t="shared" si="71"/>
        <v>Forward Estimates     2017-2018</v>
      </c>
      <c r="J454" s="128" t="str">
        <f t="shared" si="71"/>
        <v>Forward Estimates     2018-2019</v>
      </c>
    </row>
    <row r="455" spans="1:10" ht="14.25" customHeight="1" x14ac:dyDescent="0.2">
      <c r="A455" s="130" t="s">
        <v>243</v>
      </c>
      <c r="B455" s="130" t="s">
        <v>244</v>
      </c>
      <c r="C455" s="131" t="s">
        <v>245</v>
      </c>
      <c r="D455" s="131"/>
      <c r="E455" s="101"/>
      <c r="F455" s="101"/>
      <c r="G455" s="101"/>
      <c r="H455" s="101"/>
      <c r="I455" s="101"/>
      <c r="J455" s="101"/>
    </row>
    <row r="456" spans="1:10" x14ac:dyDescent="0.2">
      <c r="A456" s="163"/>
      <c r="B456" s="163"/>
      <c r="C456" s="156"/>
      <c r="D456" s="156"/>
      <c r="E456" s="158"/>
      <c r="F456" s="209"/>
      <c r="G456" s="158"/>
      <c r="H456" s="136"/>
      <c r="I456" s="158"/>
      <c r="J456" s="135"/>
    </row>
    <row r="457" spans="1:10" x14ac:dyDescent="0.2">
      <c r="A457" s="163"/>
      <c r="B457" s="163"/>
      <c r="C457" s="156"/>
      <c r="D457" s="156"/>
      <c r="E457" s="158"/>
      <c r="F457" s="209"/>
      <c r="G457" s="158"/>
      <c r="H457" s="136"/>
      <c r="I457" s="158"/>
      <c r="J457" s="135"/>
    </row>
    <row r="458" spans="1:10" x14ac:dyDescent="0.2">
      <c r="A458" s="137" t="s">
        <v>15</v>
      </c>
      <c r="B458" s="137"/>
      <c r="C458" s="137"/>
      <c r="D458" s="137"/>
      <c r="E458" s="138">
        <v>0</v>
      </c>
      <c r="F458" s="138">
        <v>0</v>
      </c>
      <c r="G458" s="138">
        <v>0</v>
      </c>
      <c r="H458" s="138">
        <v>0</v>
      </c>
      <c r="I458" s="138">
        <v>0</v>
      </c>
      <c r="J458" s="138">
        <v>0</v>
      </c>
    </row>
    <row r="459" spans="1:10" x14ac:dyDescent="0.2">
      <c r="A459" s="290"/>
      <c r="B459" s="290"/>
      <c r="C459" s="290"/>
      <c r="D459" s="290"/>
      <c r="E459" s="290"/>
      <c r="F459" s="290"/>
      <c r="G459" s="290"/>
      <c r="H459" s="290"/>
      <c r="I459" s="290"/>
      <c r="J459" s="290"/>
    </row>
    <row r="460" spans="1:10" x14ac:dyDescent="0.2">
      <c r="A460" s="161" t="s">
        <v>288</v>
      </c>
      <c r="B460" s="161"/>
      <c r="C460" s="161"/>
      <c r="D460" s="161"/>
      <c r="E460" s="161"/>
      <c r="F460" s="202"/>
      <c r="G460" s="202"/>
      <c r="H460" s="202"/>
      <c r="I460" s="202"/>
      <c r="J460" s="202"/>
    </row>
    <row r="461" spans="1:10" x14ac:dyDescent="0.2">
      <c r="A461" s="131" t="s">
        <v>300</v>
      </c>
      <c r="B461" s="131"/>
      <c r="C461" s="131"/>
      <c r="D461" s="132" t="s">
        <v>301</v>
      </c>
      <c r="E461" s="291" t="s">
        <v>302</v>
      </c>
      <c r="F461" s="131" t="s">
        <v>300</v>
      </c>
      <c r="G461" s="131"/>
      <c r="H461" s="131"/>
      <c r="I461" s="132" t="s">
        <v>301</v>
      </c>
      <c r="J461" s="291" t="s">
        <v>302</v>
      </c>
    </row>
    <row r="462" spans="1:10" x14ac:dyDescent="0.2">
      <c r="A462" s="134" t="str">
        <f>Establishment!D137</f>
        <v>Governor</v>
      </c>
      <c r="B462" s="134"/>
      <c r="C462" s="134"/>
      <c r="D462" s="357">
        <f>Establishment!E137</f>
        <v>0</v>
      </c>
      <c r="E462" s="268">
        <f>Establishment!C137</f>
        <v>1</v>
      </c>
      <c r="F462" s="134" t="str">
        <f>Establishment!D143</f>
        <v>Resident Assistant</v>
      </c>
      <c r="G462" s="134"/>
      <c r="H462" s="134"/>
      <c r="I462" s="357">
        <f>Establishment!E143</f>
        <v>0</v>
      </c>
      <c r="J462" s="268">
        <f>Establishment!C143</f>
        <v>1</v>
      </c>
    </row>
    <row r="463" spans="1:10" x14ac:dyDescent="0.2">
      <c r="A463" s="134" t="str">
        <f>Establishment!D138</f>
        <v>Clerical Officer (Snr)</v>
      </c>
      <c r="B463" s="134"/>
      <c r="C463" s="134"/>
      <c r="D463" s="357" t="str">
        <f>Establishment!E138</f>
        <v>R33-29</v>
      </c>
      <c r="E463" s="268">
        <f>Establishment!C138</f>
        <v>1</v>
      </c>
      <c r="F463" s="134" t="str">
        <f>Establishment!D144</f>
        <v>Cook</v>
      </c>
      <c r="G463" s="134"/>
      <c r="H463" s="134"/>
      <c r="I463" s="357">
        <f>Establishment!E144</f>
        <v>0</v>
      </c>
      <c r="J463" s="268">
        <f>Establishment!C144</f>
        <v>1</v>
      </c>
    </row>
    <row r="464" spans="1:10" x14ac:dyDescent="0.2">
      <c r="A464" s="134" t="str">
        <f>Establishment!D139</f>
        <v>Governor's Driver</v>
      </c>
      <c r="B464" s="134"/>
      <c r="C464" s="134"/>
      <c r="D464" s="357" t="str">
        <f>Establishment!E139</f>
        <v>R33-29</v>
      </c>
      <c r="E464" s="268">
        <f>Establishment!C139</f>
        <v>1</v>
      </c>
      <c r="F464" s="134" t="str">
        <f>Establishment!D145</f>
        <v>Cleaner</v>
      </c>
      <c r="G464" s="134"/>
      <c r="H464" s="134"/>
      <c r="I464" s="357">
        <f>Establishment!E145</f>
        <v>0</v>
      </c>
      <c r="J464" s="268">
        <f>Establishment!C145</f>
        <v>1</v>
      </c>
    </row>
    <row r="465" spans="1:10" x14ac:dyDescent="0.2">
      <c r="A465" s="203" t="s">
        <v>303</v>
      </c>
      <c r="B465" s="203"/>
      <c r="C465" s="203"/>
      <c r="D465" s="203"/>
      <c r="E465" s="203"/>
      <c r="F465" s="203"/>
      <c r="G465" s="203"/>
      <c r="H465" s="203"/>
      <c r="I465" s="203"/>
      <c r="J465" s="204">
        <f>SUM(E462:E464,J462:J464)</f>
        <v>6</v>
      </c>
    </row>
    <row r="466" spans="1:10" x14ac:dyDescent="0.2">
      <c r="A466" s="129"/>
      <c r="B466" s="129"/>
      <c r="C466" s="129"/>
      <c r="D466" s="129"/>
      <c r="E466" s="129"/>
      <c r="F466" s="179"/>
      <c r="G466" s="179"/>
      <c r="H466" s="179"/>
      <c r="I466" s="179"/>
      <c r="J466" s="179"/>
    </row>
    <row r="467" spans="1:10" ht="27.75" customHeight="1" x14ac:dyDescent="0.2">
      <c r="A467" s="180" t="s">
        <v>304</v>
      </c>
      <c r="B467" s="180"/>
      <c r="C467" s="180"/>
      <c r="D467" s="180"/>
      <c r="E467" s="180"/>
      <c r="F467" s="180"/>
      <c r="G467" s="180"/>
      <c r="H467" s="180"/>
      <c r="I467" s="180"/>
      <c r="J467" s="180"/>
    </row>
    <row r="468" spans="1:10" x14ac:dyDescent="0.2">
      <c r="A468" s="181" t="s">
        <v>305</v>
      </c>
      <c r="B468" s="181"/>
      <c r="C468" s="181"/>
      <c r="D468" s="181"/>
      <c r="E468" s="181"/>
      <c r="F468" s="181"/>
      <c r="G468" s="181"/>
      <c r="H468" s="181"/>
      <c r="I468" s="181"/>
      <c r="J468" s="181"/>
    </row>
    <row r="469" spans="1:10" x14ac:dyDescent="0.2">
      <c r="A469" s="298" t="s">
        <v>761</v>
      </c>
      <c r="B469" s="299"/>
      <c r="C469" s="299"/>
      <c r="D469" s="299"/>
      <c r="E469" s="299"/>
      <c r="F469" s="299"/>
      <c r="G469" s="299"/>
      <c r="H469" s="299"/>
      <c r="I469" s="299"/>
      <c r="J469" s="300"/>
    </row>
    <row r="470" spans="1:10" x14ac:dyDescent="0.2">
      <c r="A470" s="298" t="s">
        <v>762</v>
      </c>
      <c r="B470" s="299"/>
      <c r="C470" s="299"/>
      <c r="D470" s="299"/>
      <c r="E470" s="299"/>
      <c r="F470" s="299"/>
      <c r="G470" s="299"/>
      <c r="H470" s="299"/>
      <c r="I470" s="299"/>
      <c r="J470" s="300"/>
    </row>
    <row r="471" spans="1:10" ht="14.25" customHeight="1" x14ac:dyDescent="0.2">
      <c r="A471" s="298" t="s">
        <v>763</v>
      </c>
      <c r="B471" s="299"/>
      <c r="C471" s="299"/>
      <c r="D471" s="299"/>
      <c r="E471" s="299"/>
      <c r="F471" s="299"/>
      <c r="G471" s="299"/>
      <c r="H471" s="299"/>
      <c r="I471" s="299"/>
      <c r="J471" s="300"/>
    </row>
    <row r="472" spans="1:10" x14ac:dyDescent="0.2">
      <c r="A472" s="298"/>
      <c r="B472" s="299"/>
      <c r="C472" s="299"/>
      <c r="D472" s="299"/>
      <c r="E472" s="299"/>
      <c r="F472" s="299"/>
      <c r="G472" s="299"/>
      <c r="H472" s="299"/>
      <c r="I472" s="299"/>
      <c r="J472" s="300"/>
    </row>
    <row r="473" spans="1:10" x14ac:dyDescent="0.2">
      <c r="A473" s="183" t="s">
        <v>415</v>
      </c>
      <c r="B473" s="183"/>
      <c r="C473" s="183"/>
      <c r="D473" s="183"/>
      <c r="E473" s="183"/>
      <c r="F473" s="183"/>
      <c r="G473" s="183"/>
      <c r="H473" s="183"/>
      <c r="I473" s="183"/>
      <c r="J473" s="183"/>
    </row>
    <row r="474" spans="1:10" x14ac:dyDescent="0.2">
      <c r="A474" s="129"/>
      <c r="B474" s="129"/>
      <c r="C474" s="129"/>
      <c r="D474" s="129"/>
      <c r="E474" s="129"/>
      <c r="F474" s="129"/>
      <c r="G474" s="129"/>
      <c r="H474" s="129"/>
      <c r="I474" s="129"/>
      <c r="J474" s="129"/>
    </row>
    <row r="475" spans="1:10" x14ac:dyDescent="0.2">
      <c r="A475" s="129"/>
      <c r="B475" s="129"/>
      <c r="C475" s="129"/>
      <c r="D475" s="129"/>
      <c r="E475" s="129"/>
      <c r="F475" s="129"/>
      <c r="G475" s="129"/>
      <c r="H475" s="129"/>
      <c r="I475" s="129"/>
      <c r="J475" s="129"/>
    </row>
    <row r="476" spans="1:10" x14ac:dyDescent="0.2">
      <c r="A476" s="129"/>
      <c r="B476" s="129"/>
      <c r="C476" s="129"/>
      <c r="D476" s="129"/>
      <c r="E476" s="129"/>
      <c r="F476" s="129"/>
      <c r="G476" s="129"/>
      <c r="H476" s="129"/>
      <c r="I476" s="129"/>
      <c r="J476" s="129"/>
    </row>
    <row r="477" spans="1:10" x14ac:dyDescent="0.2">
      <c r="A477" s="129"/>
      <c r="B477" s="129"/>
      <c r="C477" s="129"/>
      <c r="D477" s="129"/>
      <c r="E477" s="129"/>
      <c r="F477" s="129"/>
      <c r="G477" s="129"/>
      <c r="H477" s="129"/>
      <c r="I477" s="129"/>
      <c r="J477" s="129"/>
    </row>
    <row r="478" spans="1:10" ht="22.5" x14ac:dyDescent="0.2">
      <c r="A478" s="180" t="s">
        <v>315</v>
      </c>
      <c r="B478" s="180"/>
      <c r="C478" s="180"/>
      <c r="D478" s="180"/>
      <c r="E478" s="180"/>
      <c r="F478" s="184" t="str">
        <f>F280</f>
        <v xml:space="preserve"> Actual 2013/14</v>
      </c>
      <c r="G478" s="184" t="str">
        <f>G280</f>
        <v xml:space="preserve"> Estimate 2014/15</v>
      </c>
      <c r="H478" s="184" t="str">
        <f>H280</f>
        <v xml:space="preserve"> Target 2015/16</v>
      </c>
      <c r="I478" s="184" t="str">
        <f>I280</f>
        <v xml:space="preserve"> Target 2016/17</v>
      </c>
      <c r="J478" s="184" t="str">
        <f>J280</f>
        <v xml:space="preserve"> Target 2017/18</v>
      </c>
    </row>
    <row r="479" spans="1:10" x14ac:dyDescent="0.2">
      <c r="A479" s="180" t="s">
        <v>316</v>
      </c>
      <c r="B479" s="180"/>
      <c r="C479" s="180"/>
      <c r="D479" s="180"/>
      <c r="E479" s="180"/>
      <c r="F479" s="180"/>
      <c r="G479" s="180"/>
      <c r="H479" s="180"/>
      <c r="I479" s="180"/>
      <c r="J479" s="180"/>
    </row>
    <row r="480" spans="1:10" x14ac:dyDescent="0.2">
      <c r="A480" s="358" t="s">
        <v>764</v>
      </c>
      <c r="B480" s="358"/>
      <c r="C480" s="358"/>
      <c r="D480" s="358"/>
      <c r="E480" s="358"/>
      <c r="F480" s="359">
        <v>5</v>
      </c>
      <c r="G480" s="189">
        <v>5</v>
      </c>
      <c r="H480" s="189">
        <v>5</v>
      </c>
      <c r="I480" s="189">
        <v>5</v>
      </c>
      <c r="J480" s="189">
        <v>5</v>
      </c>
    </row>
    <row r="481" spans="1:10" x14ac:dyDescent="0.2">
      <c r="A481" s="352"/>
      <c r="B481" s="352"/>
      <c r="C481" s="352"/>
      <c r="D481" s="352"/>
      <c r="E481" s="352"/>
      <c r="F481" s="359"/>
      <c r="G481" s="189"/>
      <c r="H481" s="189"/>
      <c r="I481" s="189"/>
      <c r="J481" s="189"/>
    </row>
    <row r="482" spans="1:10" x14ac:dyDescent="0.2">
      <c r="A482" s="180" t="s">
        <v>324</v>
      </c>
      <c r="B482" s="180"/>
      <c r="C482" s="180"/>
      <c r="D482" s="180"/>
      <c r="E482" s="180"/>
      <c r="F482" s="180"/>
      <c r="G482" s="180"/>
      <c r="H482" s="180"/>
      <c r="I482" s="180"/>
      <c r="J482" s="180"/>
    </row>
    <row r="483" spans="1:10" x14ac:dyDescent="0.2">
      <c r="A483" s="360" t="s">
        <v>765</v>
      </c>
      <c r="B483" s="360"/>
      <c r="C483" s="360"/>
      <c r="D483" s="360"/>
      <c r="E483" s="360"/>
      <c r="F483" s="361">
        <v>5</v>
      </c>
      <c r="G483" s="362">
        <v>5</v>
      </c>
      <c r="H483" s="362">
        <v>5</v>
      </c>
      <c r="I483" s="362">
        <v>5</v>
      </c>
      <c r="J483" s="362">
        <v>5</v>
      </c>
    </row>
    <row r="484" spans="1:10" x14ac:dyDescent="0.2">
      <c r="A484" s="363"/>
      <c r="B484" s="363"/>
      <c r="C484" s="363"/>
      <c r="D484" s="363"/>
      <c r="E484" s="363"/>
      <c r="F484" s="361"/>
      <c r="G484" s="362"/>
      <c r="H484" s="362"/>
      <c r="I484" s="362"/>
      <c r="J484" s="362"/>
    </row>
    <row r="485" spans="1:10" x14ac:dyDescent="0.2">
      <c r="A485" s="360"/>
      <c r="B485" s="360"/>
      <c r="C485" s="360"/>
      <c r="D485" s="360"/>
      <c r="E485" s="360"/>
      <c r="F485" s="361"/>
      <c r="G485" s="362"/>
      <c r="H485" s="362"/>
      <c r="I485" s="362"/>
      <c r="J485" s="362"/>
    </row>
    <row r="487" spans="1:10" x14ac:dyDescent="0.2">
      <c r="A487" s="222"/>
      <c r="B487" s="222"/>
      <c r="C487" s="222"/>
      <c r="D487" s="222"/>
      <c r="E487" s="274" t="s">
        <v>382</v>
      </c>
      <c r="F487" s="229"/>
      <c r="G487" s="222"/>
      <c r="H487" s="222"/>
      <c r="I487" s="222"/>
      <c r="J487" s="223" t="s">
        <v>766</v>
      </c>
    </row>
    <row r="488" spans="1:10" ht="34.5" thickBot="1" x14ac:dyDescent="0.25">
      <c r="A488" s="224"/>
      <c r="B488" s="224" t="s">
        <v>188</v>
      </c>
      <c r="C488" s="225"/>
      <c r="D488" s="226"/>
      <c r="E488" s="184" t="str">
        <f t="shared" ref="E488:J488" si="72">E34</f>
        <v>Actuals           2014-2015</v>
      </c>
      <c r="F488" s="184" t="str">
        <f t="shared" si="72"/>
        <v>Approved Estimates          2015-2016</v>
      </c>
      <c r="G488" s="184" t="str">
        <f t="shared" si="72"/>
        <v>Revised Estimates                 2015-2016</v>
      </c>
      <c r="H488" s="184" t="str">
        <f t="shared" si="72"/>
        <v>Budget Estimates      2016-2017</v>
      </c>
      <c r="I488" s="184" t="str">
        <f t="shared" si="72"/>
        <v>Forward Estimates     2017-2018</v>
      </c>
      <c r="J488" s="184" t="str">
        <f t="shared" si="72"/>
        <v>Forward Estimates     2018-2019</v>
      </c>
    </row>
    <row r="489" spans="1:10" x14ac:dyDescent="0.2">
      <c r="A489" s="229" t="s">
        <v>7</v>
      </c>
      <c r="B489" s="229"/>
      <c r="C489" s="229"/>
      <c r="D489" s="229"/>
      <c r="E489" s="222"/>
      <c r="F489" s="230"/>
      <c r="G489" s="230"/>
      <c r="H489" s="230"/>
      <c r="I489" s="222"/>
      <c r="J489" s="222"/>
    </row>
    <row r="490" spans="1:10" x14ac:dyDescent="0.2">
      <c r="A490" s="222"/>
      <c r="B490" s="222" t="s">
        <v>767</v>
      </c>
      <c r="C490" s="222"/>
      <c r="D490" s="222"/>
      <c r="E490" s="231">
        <f t="shared" ref="E490:J490" si="73">E85</f>
        <v>596551.01</v>
      </c>
      <c r="F490" s="231">
        <f t="shared" si="73"/>
        <v>555600</v>
      </c>
      <c r="G490" s="231">
        <f t="shared" si="73"/>
        <v>599000</v>
      </c>
      <c r="H490" s="231">
        <f t="shared" si="73"/>
        <v>635600</v>
      </c>
      <c r="I490" s="231">
        <f t="shared" si="73"/>
        <v>641500</v>
      </c>
      <c r="J490" s="231">
        <f t="shared" si="73"/>
        <v>647500</v>
      </c>
    </row>
    <row r="491" spans="1:10" x14ac:dyDescent="0.2">
      <c r="A491" s="222"/>
      <c r="B491" s="222" t="s">
        <v>107</v>
      </c>
      <c r="C491" s="222"/>
      <c r="D491" s="222"/>
      <c r="E491" s="231">
        <f t="shared" ref="E491:J491" si="74">E169</f>
        <v>600880.07999999996</v>
      </c>
      <c r="F491" s="231">
        <f t="shared" si="74"/>
        <v>727000</v>
      </c>
      <c r="G491" s="231">
        <f t="shared" si="74"/>
        <v>654400</v>
      </c>
      <c r="H491" s="231">
        <f t="shared" si="74"/>
        <v>757900</v>
      </c>
      <c r="I491" s="231">
        <f t="shared" si="74"/>
        <v>799000</v>
      </c>
      <c r="J491" s="231">
        <f t="shared" si="74"/>
        <v>814300</v>
      </c>
    </row>
    <row r="492" spans="1:10" x14ac:dyDescent="0.2">
      <c r="A492" s="222"/>
      <c r="B492" s="222" t="s">
        <v>768</v>
      </c>
      <c r="C492" s="222"/>
      <c r="D492" s="222"/>
      <c r="E492" s="231">
        <f t="shared" ref="E492:J492" si="75">E240</f>
        <v>842896.09</v>
      </c>
      <c r="F492" s="231">
        <f t="shared" si="75"/>
        <v>890800</v>
      </c>
      <c r="G492" s="231">
        <f t="shared" si="75"/>
        <v>903600</v>
      </c>
      <c r="H492" s="231">
        <f t="shared" si="75"/>
        <v>963300</v>
      </c>
      <c r="I492" s="231">
        <f t="shared" si="75"/>
        <v>992200</v>
      </c>
      <c r="J492" s="231">
        <f t="shared" si="75"/>
        <v>1018600</v>
      </c>
    </row>
    <row r="493" spans="1:10" x14ac:dyDescent="0.2">
      <c r="A493" s="222"/>
      <c r="B493" s="222" t="s">
        <v>111</v>
      </c>
      <c r="C493" s="222"/>
      <c r="D493" s="222"/>
      <c r="E493" s="231">
        <f t="shared" ref="E493:J493" si="76">E306</f>
        <v>0</v>
      </c>
      <c r="F493" s="231">
        <f t="shared" si="76"/>
        <v>0</v>
      </c>
      <c r="G493" s="231">
        <f t="shared" si="76"/>
        <v>0</v>
      </c>
      <c r="H493" s="231">
        <f t="shared" si="76"/>
        <v>0</v>
      </c>
      <c r="I493" s="231">
        <f t="shared" si="76"/>
        <v>0</v>
      </c>
      <c r="J493" s="231">
        <f t="shared" si="76"/>
        <v>0</v>
      </c>
    </row>
    <row r="494" spans="1:10" x14ac:dyDescent="0.2">
      <c r="A494" s="233"/>
      <c r="B494" s="233" t="s">
        <v>769</v>
      </c>
      <c r="C494" s="233"/>
      <c r="D494" s="233"/>
      <c r="E494" s="231">
        <f t="shared" ref="E494:J494" si="77">E371</f>
        <v>318729.55</v>
      </c>
      <c r="F494" s="231">
        <f t="shared" si="77"/>
        <v>326200</v>
      </c>
      <c r="G494" s="231">
        <f t="shared" si="77"/>
        <v>295300</v>
      </c>
      <c r="H494" s="231">
        <f t="shared" si="77"/>
        <v>317000</v>
      </c>
      <c r="I494" s="231">
        <f t="shared" si="77"/>
        <v>322400</v>
      </c>
      <c r="J494" s="231">
        <f t="shared" si="77"/>
        <v>327700</v>
      </c>
    </row>
    <row r="495" spans="1:10" x14ac:dyDescent="0.2">
      <c r="A495" s="222"/>
      <c r="B495" s="222" t="s">
        <v>115</v>
      </c>
      <c r="C495" s="222"/>
      <c r="D495" s="222"/>
      <c r="E495" s="231">
        <f t="shared" ref="E495:J495" si="78">E439</f>
        <v>167165.26</v>
      </c>
      <c r="F495" s="231">
        <f t="shared" si="78"/>
        <v>175700</v>
      </c>
      <c r="G495" s="231">
        <f t="shared" si="78"/>
        <v>169000</v>
      </c>
      <c r="H495" s="231">
        <f t="shared" si="78"/>
        <v>181100</v>
      </c>
      <c r="I495" s="231">
        <f t="shared" si="78"/>
        <v>182600</v>
      </c>
      <c r="J495" s="231">
        <f t="shared" si="78"/>
        <v>184200</v>
      </c>
    </row>
    <row r="496" spans="1:10" ht="15" thickBot="1" x14ac:dyDescent="0.25">
      <c r="A496" s="222"/>
      <c r="B496" s="222"/>
      <c r="C496" s="229" t="s">
        <v>385</v>
      </c>
      <c r="D496" s="235"/>
      <c r="E496" s="236">
        <f t="shared" ref="E496:J496" si="79">SUM(E490:E495)</f>
        <v>2526221.9899999993</v>
      </c>
      <c r="F496" s="236">
        <f t="shared" si="79"/>
        <v>2675300</v>
      </c>
      <c r="G496" s="236">
        <f t="shared" si="79"/>
        <v>2621300</v>
      </c>
      <c r="H496" s="236">
        <f t="shared" si="79"/>
        <v>2854900</v>
      </c>
      <c r="I496" s="236">
        <f t="shared" si="79"/>
        <v>2937700</v>
      </c>
      <c r="J496" s="236">
        <f t="shared" si="79"/>
        <v>2992300</v>
      </c>
    </row>
    <row r="497" spans="1:10" x14ac:dyDescent="0.2">
      <c r="A497" s="237" t="s">
        <v>196</v>
      </c>
      <c r="B497" s="237"/>
      <c r="C497" s="233"/>
      <c r="D497" s="238"/>
      <c r="E497" s="242"/>
      <c r="F497" s="242"/>
      <c r="G497" s="242"/>
      <c r="H497" s="227"/>
      <c r="I497" s="227"/>
      <c r="J497" s="227"/>
    </row>
    <row r="498" spans="1:10" x14ac:dyDescent="0.2">
      <c r="A498" s="222"/>
      <c r="B498" s="222" t="s">
        <v>767</v>
      </c>
      <c r="C498" s="222"/>
      <c r="D498" s="222"/>
      <c r="E498" s="231">
        <f t="shared" ref="E498:J498" si="80">E86</f>
        <v>0</v>
      </c>
      <c r="F498" s="231">
        <f t="shared" si="80"/>
        <v>0</v>
      </c>
      <c r="G498" s="231">
        <f t="shared" si="80"/>
        <v>0</v>
      </c>
      <c r="H498" s="231">
        <f t="shared" si="80"/>
        <v>0</v>
      </c>
      <c r="I498" s="231">
        <f t="shared" si="80"/>
        <v>0</v>
      </c>
      <c r="J498" s="231">
        <f t="shared" si="80"/>
        <v>0</v>
      </c>
    </row>
    <row r="499" spans="1:10" x14ac:dyDescent="0.2">
      <c r="A499" s="222"/>
      <c r="B499" s="222" t="s">
        <v>107</v>
      </c>
      <c r="C499" s="222"/>
      <c r="D499" s="222"/>
      <c r="E499" s="231">
        <f t="shared" ref="E499:J499" si="81">E170</f>
        <v>0</v>
      </c>
      <c r="F499" s="231">
        <f t="shared" si="81"/>
        <v>0</v>
      </c>
      <c r="G499" s="231">
        <f t="shared" si="81"/>
        <v>0</v>
      </c>
      <c r="H499" s="231">
        <f t="shared" si="81"/>
        <v>0</v>
      </c>
      <c r="I499" s="231">
        <f t="shared" si="81"/>
        <v>0</v>
      </c>
      <c r="J499" s="231">
        <f t="shared" si="81"/>
        <v>0</v>
      </c>
    </row>
    <row r="500" spans="1:10" x14ac:dyDescent="0.2">
      <c r="A500" s="222"/>
      <c r="B500" s="222" t="s">
        <v>768</v>
      </c>
      <c r="C500" s="222"/>
      <c r="D500" s="222"/>
      <c r="E500" s="231">
        <f t="shared" ref="E500:J500" si="82">E241</f>
        <v>18144</v>
      </c>
      <c r="F500" s="231">
        <f t="shared" si="82"/>
        <v>18200</v>
      </c>
      <c r="G500" s="231">
        <f t="shared" si="82"/>
        <v>16700</v>
      </c>
      <c r="H500" s="231">
        <f t="shared" si="82"/>
        <v>18200</v>
      </c>
      <c r="I500" s="231">
        <f t="shared" si="82"/>
        <v>18200</v>
      </c>
      <c r="J500" s="231">
        <f t="shared" si="82"/>
        <v>18200</v>
      </c>
    </row>
    <row r="501" spans="1:10" x14ac:dyDescent="0.2">
      <c r="A501" s="222"/>
      <c r="B501" s="222" t="s">
        <v>111</v>
      </c>
      <c r="C501" s="222"/>
      <c r="D501" s="222"/>
      <c r="E501" s="231">
        <f t="shared" ref="E501:J501" si="83">E307</f>
        <v>0</v>
      </c>
      <c r="F501" s="231">
        <f t="shared" si="83"/>
        <v>0</v>
      </c>
      <c r="G501" s="231">
        <f t="shared" si="83"/>
        <v>0</v>
      </c>
      <c r="H501" s="231">
        <f t="shared" si="83"/>
        <v>0</v>
      </c>
      <c r="I501" s="231">
        <f t="shared" si="83"/>
        <v>0</v>
      </c>
      <c r="J501" s="231">
        <f t="shared" si="83"/>
        <v>0</v>
      </c>
    </row>
    <row r="502" spans="1:10" x14ac:dyDescent="0.2">
      <c r="A502" s="222"/>
      <c r="B502" s="233" t="s">
        <v>769</v>
      </c>
      <c r="C502" s="233"/>
      <c r="D502" s="233"/>
      <c r="E502" s="231">
        <f t="shared" ref="E502:J502" si="84">E372</f>
        <v>0</v>
      </c>
      <c r="F502" s="231">
        <f t="shared" si="84"/>
        <v>0</v>
      </c>
      <c r="G502" s="231">
        <f t="shared" si="84"/>
        <v>0</v>
      </c>
      <c r="H502" s="231">
        <f t="shared" si="84"/>
        <v>0</v>
      </c>
      <c r="I502" s="231">
        <f t="shared" si="84"/>
        <v>0</v>
      </c>
      <c r="J502" s="231">
        <f t="shared" si="84"/>
        <v>0</v>
      </c>
    </row>
    <row r="503" spans="1:10" x14ac:dyDescent="0.2">
      <c r="A503" s="222"/>
      <c r="B503" s="222" t="s">
        <v>115</v>
      </c>
      <c r="C503" s="222"/>
      <c r="D503" s="222"/>
      <c r="E503" s="231">
        <f t="shared" ref="E503:J503" si="85">E440</f>
        <v>82443.070000000007</v>
      </c>
      <c r="F503" s="231">
        <f t="shared" si="85"/>
        <v>88200</v>
      </c>
      <c r="G503" s="231">
        <f t="shared" si="85"/>
        <v>86000</v>
      </c>
      <c r="H503" s="231">
        <f t="shared" si="85"/>
        <v>88200</v>
      </c>
      <c r="I503" s="231">
        <f t="shared" si="85"/>
        <v>88200</v>
      </c>
      <c r="J503" s="231">
        <f t="shared" si="85"/>
        <v>88200</v>
      </c>
    </row>
    <row r="504" spans="1:10" ht="15" thickBot="1" x14ac:dyDescent="0.25">
      <c r="A504" s="229"/>
      <c r="B504" s="229"/>
      <c r="C504" s="229" t="s">
        <v>386</v>
      </c>
      <c r="D504" s="239"/>
      <c r="E504" s="236">
        <f t="shared" ref="E504:J504" si="86">SUM(E498:E503)</f>
        <v>100587.07</v>
      </c>
      <c r="F504" s="236">
        <f t="shared" si="86"/>
        <v>106400</v>
      </c>
      <c r="G504" s="236">
        <f t="shared" si="86"/>
        <v>102700</v>
      </c>
      <c r="H504" s="236">
        <f t="shared" si="86"/>
        <v>106400</v>
      </c>
      <c r="I504" s="236">
        <f t="shared" si="86"/>
        <v>106400</v>
      </c>
      <c r="J504" s="236">
        <f t="shared" si="86"/>
        <v>106400</v>
      </c>
    </row>
    <row r="505" spans="1:10" x14ac:dyDescent="0.2">
      <c r="A505" s="229" t="s">
        <v>387</v>
      </c>
      <c r="B505" s="222"/>
      <c r="C505" s="222"/>
      <c r="D505" s="240"/>
      <c r="E505" s="241"/>
      <c r="F505" s="241"/>
      <c r="G505" s="241"/>
      <c r="H505" s="241"/>
      <c r="I505" s="241"/>
      <c r="J505" s="241"/>
    </row>
    <row r="506" spans="1:10" x14ac:dyDescent="0.2">
      <c r="A506" s="222"/>
      <c r="B506" s="222" t="s">
        <v>767</v>
      </c>
      <c r="C506" s="222"/>
      <c r="D506" s="222"/>
      <c r="E506" s="231">
        <f t="shared" ref="E506:J506" si="87">E87</f>
        <v>119720</v>
      </c>
      <c r="F506" s="231">
        <f t="shared" si="87"/>
        <v>121600</v>
      </c>
      <c r="G506" s="231">
        <f t="shared" si="87"/>
        <v>120000</v>
      </c>
      <c r="H506" s="231">
        <f t="shared" si="87"/>
        <v>127600</v>
      </c>
      <c r="I506" s="231">
        <f t="shared" si="87"/>
        <v>121600</v>
      </c>
      <c r="J506" s="231">
        <f t="shared" si="87"/>
        <v>121600</v>
      </c>
    </row>
    <row r="507" spans="1:10" x14ac:dyDescent="0.2">
      <c r="A507" s="222"/>
      <c r="B507" s="222" t="s">
        <v>107</v>
      </c>
      <c r="C507" s="222"/>
      <c r="D507" s="222"/>
      <c r="E507" s="231">
        <f t="shared" ref="E507:J507" si="88">E171</f>
        <v>185223.93</v>
      </c>
      <c r="F507" s="231">
        <f t="shared" si="88"/>
        <v>196300</v>
      </c>
      <c r="G507" s="231">
        <f t="shared" si="88"/>
        <v>196300</v>
      </c>
      <c r="H507" s="231">
        <f t="shared" si="88"/>
        <v>196300</v>
      </c>
      <c r="I507" s="231">
        <f t="shared" si="88"/>
        <v>196300</v>
      </c>
      <c r="J507" s="231">
        <f t="shared" si="88"/>
        <v>196300</v>
      </c>
    </row>
    <row r="508" spans="1:10" x14ac:dyDescent="0.2">
      <c r="A508" s="222"/>
      <c r="B508" s="222" t="s">
        <v>768</v>
      </c>
      <c r="C508" s="222"/>
      <c r="D508" s="222"/>
      <c r="E508" s="231">
        <f t="shared" ref="E508:J508" si="89">E242</f>
        <v>43623.07</v>
      </c>
      <c r="F508" s="231">
        <f t="shared" si="89"/>
        <v>35600</v>
      </c>
      <c r="G508" s="231">
        <f t="shared" si="89"/>
        <v>50600</v>
      </c>
      <c r="H508" s="231">
        <f t="shared" si="89"/>
        <v>45200</v>
      </c>
      <c r="I508" s="231">
        <f t="shared" si="89"/>
        <v>35600</v>
      </c>
      <c r="J508" s="231">
        <f t="shared" si="89"/>
        <v>35600</v>
      </c>
    </row>
    <row r="509" spans="1:10" x14ac:dyDescent="0.2">
      <c r="A509" s="222"/>
      <c r="B509" s="222" t="s">
        <v>111</v>
      </c>
      <c r="C509" s="222"/>
      <c r="D509" s="222"/>
      <c r="E509" s="231">
        <f t="shared" ref="E509:J509" si="90">E307</f>
        <v>0</v>
      </c>
      <c r="F509" s="231">
        <f t="shared" si="90"/>
        <v>0</v>
      </c>
      <c r="G509" s="231">
        <f t="shared" si="90"/>
        <v>0</v>
      </c>
      <c r="H509" s="231">
        <f t="shared" si="90"/>
        <v>0</v>
      </c>
      <c r="I509" s="231">
        <f t="shared" si="90"/>
        <v>0</v>
      </c>
      <c r="J509" s="231">
        <f t="shared" si="90"/>
        <v>0</v>
      </c>
    </row>
    <row r="510" spans="1:10" x14ac:dyDescent="0.2">
      <c r="A510" s="222"/>
      <c r="B510" s="233" t="s">
        <v>769</v>
      </c>
      <c r="C510" s="233"/>
      <c r="D510" s="233"/>
      <c r="E510" s="231">
        <f t="shared" ref="E510:J510" si="91">E373</f>
        <v>31520</v>
      </c>
      <c r="F510" s="231">
        <f t="shared" si="91"/>
        <v>35200</v>
      </c>
      <c r="G510" s="231">
        <f t="shared" si="91"/>
        <v>33200</v>
      </c>
      <c r="H510" s="231">
        <f t="shared" si="91"/>
        <v>36800</v>
      </c>
      <c r="I510" s="231">
        <f t="shared" si="91"/>
        <v>35200</v>
      </c>
      <c r="J510" s="231">
        <f t="shared" si="91"/>
        <v>35200</v>
      </c>
    </row>
    <row r="511" spans="1:10" x14ac:dyDescent="0.2">
      <c r="A511" s="222"/>
      <c r="B511" s="222" t="s">
        <v>115</v>
      </c>
      <c r="C511" s="222"/>
      <c r="D511" s="222"/>
      <c r="E511" s="231">
        <f t="shared" ref="E511:J511" si="92">E441</f>
        <v>23138.04</v>
      </c>
      <c r="F511" s="231">
        <f t="shared" si="92"/>
        <v>23200</v>
      </c>
      <c r="G511" s="231">
        <f t="shared" si="92"/>
        <v>21400</v>
      </c>
      <c r="H511" s="231">
        <f t="shared" si="92"/>
        <v>23200</v>
      </c>
      <c r="I511" s="231">
        <f t="shared" si="92"/>
        <v>23200</v>
      </c>
      <c r="J511" s="231">
        <f t="shared" si="92"/>
        <v>23200</v>
      </c>
    </row>
    <row r="512" spans="1:10" ht="15" thickBot="1" x14ac:dyDescent="0.25">
      <c r="A512" s="222"/>
      <c r="B512" s="222"/>
      <c r="C512" s="229" t="s">
        <v>388</v>
      </c>
      <c r="D512" s="240"/>
      <c r="E512" s="236">
        <f t="shared" ref="E512:J512" si="93">SUM(E506:E511)</f>
        <v>403225.04</v>
      </c>
      <c r="F512" s="236">
        <f t="shared" si="93"/>
        <v>411900</v>
      </c>
      <c r="G512" s="236">
        <f t="shared" si="93"/>
        <v>421500</v>
      </c>
      <c r="H512" s="236">
        <f t="shared" si="93"/>
        <v>429100</v>
      </c>
      <c r="I512" s="236">
        <f t="shared" si="93"/>
        <v>411900</v>
      </c>
      <c r="J512" s="236">
        <f t="shared" si="93"/>
        <v>411900</v>
      </c>
    </row>
    <row r="513" spans="1:10" x14ac:dyDescent="0.2">
      <c r="A513" s="240"/>
      <c r="B513" s="229"/>
      <c r="C513" s="222"/>
      <c r="D513" s="240"/>
      <c r="E513" s="242"/>
      <c r="F513" s="242"/>
      <c r="G513" s="242"/>
      <c r="H513" s="242"/>
      <c r="I513" s="242"/>
      <c r="J513" s="242"/>
    </row>
    <row r="514" spans="1:10" x14ac:dyDescent="0.2">
      <c r="A514" s="229" t="s">
        <v>198</v>
      </c>
      <c r="B514" s="222"/>
      <c r="C514" s="222"/>
      <c r="D514" s="240"/>
      <c r="E514" s="230"/>
      <c r="F514" s="230"/>
      <c r="G514" s="230"/>
      <c r="H514" s="230"/>
      <c r="I514" s="230"/>
      <c r="J514" s="230"/>
    </row>
    <row r="515" spans="1:10" x14ac:dyDescent="0.2">
      <c r="A515" s="222"/>
      <c r="B515" s="222" t="s">
        <v>767</v>
      </c>
      <c r="C515" s="222"/>
      <c r="D515" s="222"/>
      <c r="E515" s="231">
        <f t="shared" ref="E515:J515" si="94">E88</f>
        <v>13762836.4</v>
      </c>
      <c r="F515" s="231">
        <f t="shared" si="94"/>
        <v>12402900</v>
      </c>
      <c r="G515" s="231">
        <f t="shared" si="94"/>
        <v>11902900</v>
      </c>
      <c r="H515" s="231">
        <f t="shared" si="94"/>
        <v>11095800</v>
      </c>
      <c r="I515" s="231">
        <f t="shared" si="94"/>
        <v>11119900</v>
      </c>
      <c r="J515" s="231">
        <f t="shared" si="94"/>
        <v>11119900</v>
      </c>
    </row>
    <row r="516" spans="1:10" x14ac:dyDescent="0.2">
      <c r="A516" s="222"/>
      <c r="B516" s="222" t="s">
        <v>107</v>
      </c>
      <c r="C516" s="222"/>
      <c r="D516" s="222"/>
      <c r="E516" s="231">
        <f>E172+E173</f>
        <v>0</v>
      </c>
      <c r="F516" s="231">
        <f>F172</f>
        <v>0</v>
      </c>
      <c r="G516" s="231">
        <f>G172</f>
        <v>0</v>
      </c>
      <c r="H516" s="231">
        <f>H172</f>
        <v>0</v>
      </c>
      <c r="I516" s="231">
        <f>I172</f>
        <v>0</v>
      </c>
      <c r="J516" s="231">
        <f>J172</f>
        <v>0</v>
      </c>
    </row>
    <row r="517" spans="1:10" x14ac:dyDescent="0.2">
      <c r="A517" s="222"/>
      <c r="B517" s="222" t="s">
        <v>768</v>
      </c>
      <c r="C517" s="222"/>
      <c r="D517" s="222"/>
      <c r="E517" s="231">
        <f t="shared" ref="E517:J517" si="95">E243</f>
        <v>0</v>
      </c>
      <c r="F517" s="231">
        <f t="shared" si="95"/>
        <v>0</v>
      </c>
      <c r="G517" s="231">
        <f t="shared" si="95"/>
        <v>0</v>
      </c>
      <c r="H517" s="231">
        <f t="shared" si="95"/>
        <v>0</v>
      </c>
      <c r="I517" s="231">
        <f t="shared" si="95"/>
        <v>0</v>
      </c>
      <c r="J517" s="231">
        <f t="shared" si="95"/>
        <v>0</v>
      </c>
    </row>
    <row r="518" spans="1:10" x14ac:dyDescent="0.2">
      <c r="A518" s="222"/>
      <c r="B518" s="222" t="s">
        <v>111</v>
      </c>
      <c r="C518" s="222"/>
      <c r="D518" s="222"/>
      <c r="E518" s="231">
        <f t="shared" ref="E518:J518" si="96">E308</f>
        <v>0</v>
      </c>
      <c r="F518" s="231">
        <f t="shared" si="96"/>
        <v>0</v>
      </c>
      <c r="G518" s="231">
        <f t="shared" si="96"/>
        <v>0</v>
      </c>
      <c r="H518" s="231">
        <f t="shared" si="96"/>
        <v>0</v>
      </c>
      <c r="I518" s="231">
        <f t="shared" si="96"/>
        <v>0</v>
      </c>
      <c r="J518" s="231">
        <f t="shared" si="96"/>
        <v>0</v>
      </c>
    </row>
    <row r="519" spans="1:10" x14ac:dyDescent="0.2">
      <c r="A519" s="222"/>
      <c r="B519" s="233" t="s">
        <v>769</v>
      </c>
      <c r="C519" s="233"/>
      <c r="D519" s="233"/>
      <c r="E519" s="231">
        <f t="shared" ref="E519:J519" si="97">E374</f>
        <v>0</v>
      </c>
      <c r="F519" s="231">
        <f t="shared" si="97"/>
        <v>0</v>
      </c>
      <c r="G519" s="231">
        <f t="shared" si="97"/>
        <v>0</v>
      </c>
      <c r="H519" s="231">
        <f t="shared" si="97"/>
        <v>0</v>
      </c>
      <c r="I519" s="231">
        <f t="shared" si="97"/>
        <v>0</v>
      </c>
      <c r="J519" s="231">
        <f t="shared" si="97"/>
        <v>0</v>
      </c>
    </row>
    <row r="520" spans="1:10" x14ac:dyDescent="0.2">
      <c r="A520" s="222"/>
      <c r="B520" s="222" t="s">
        <v>115</v>
      </c>
      <c r="C520" s="222"/>
      <c r="D520" s="222"/>
      <c r="E520" s="231">
        <f t="shared" ref="E520:J520" si="98">E442</f>
        <v>0</v>
      </c>
      <c r="F520" s="231">
        <f t="shared" si="98"/>
        <v>9400</v>
      </c>
      <c r="G520" s="231">
        <f t="shared" si="98"/>
        <v>0</v>
      </c>
      <c r="H520" s="231">
        <f t="shared" si="98"/>
        <v>0</v>
      </c>
      <c r="I520" s="231">
        <f t="shared" si="98"/>
        <v>9400</v>
      </c>
      <c r="J520" s="231">
        <f t="shared" si="98"/>
        <v>0</v>
      </c>
    </row>
    <row r="521" spans="1:10" ht="15" thickBot="1" x14ac:dyDescent="0.25">
      <c r="A521" s="222"/>
      <c r="B521" s="222"/>
      <c r="C521" s="229" t="s">
        <v>389</v>
      </c>
      <c r="D521" s="240"/>
      <c r="E521" s="236">
        <f t="shared" ref="E521:J521" si="99">SUM(E515:E520)</f>
        <v>13762836.4</v>
      </c>
      <c r="F521" s="236">
        <f t="shared" si="99"/>
        <v>12412300</v>
      </c>
      <c r="G521" s="236">
        <f t="shared" si="99"/>
        <v>11902900</v>
      </c>
      <c r="H521" s="236">
        <f t="shared" si="99"/>
        <v>11095800</v>
      </c>
      <c r="I521" s="236">
        <f t="shared" si="99"/>
        <v>11129300</v>
      </c>
      <c r="J521" s="236">
        <f t="shared" si="99"/>
        <v>11119900</v>
      </c>
    </row>
    <row r="522" spans="1:10" x14ac:dyDescent="0.2">
      <c r="A522" s="240"/>
      <c r="B522" s="229"/>
      <c r="C522" s="222"/>
      <c r="D522" s="240"/>
      <c r="E522" s="242"/>
      <c r="F522" s="242"/>
      <c r="G522" s="242"/>
      <c r="H522" s="242"/>
      <c r="I522" s="242"/>
      <c r="J522" s="242"/>
    </row>
    <row r="523" spans="1:10" x14ac:dyDescent="0.2">
      <c r="A523" s="243" t="s">
        <v>296</v>
      </c>
      <c r="B523" s="229"/>
      <c r="C523" s="222"/>
      <c r="D523" s="240"/>
      <c r="E523" s="230"/>
      <c r="F523" s="230"/>
      <c r="G523" s="230"/>
      <c r="H523" s="230"/>
      <c r="I523" s="230"/>
      <c r="J523" s="230"/>
    </row>
    <row r="524" spans="1:10" x14ac:dyDescent="0.2">
      <c r="A524" s="233"/>
      <c r="B524" s="222" t="s">
        <v>767</v>
      </c>
      <c r="C524" s="222"/>
      <c r="D524" s="222"/>
      <c r="E524" s="231">
        <f t="shared" ref="E524:J524" si="100">E102</f>
        <v>1858861.4900000002</v>
      </c>
      <c r="F524" s="231">
        <f t="shared" si="100"/>
        <v>2327700</v>
      </c>
      <c r="G524" s="231">
        <f t="shared" si="100"/>
        <v>2377800</v>
      </c>
      <c r="H524" s="231">
        <f t="shared" si="100"/>
        <v>2272700</v>
      </c>
      <c r="I524" s="231">
        <f t="shared" si="100"/>
        <v>2222700</v>
      </c>
      <c r="J524" s="231">
        <f t="shared" si="100"/>
        <v>2222700</v>
      </c>
    </row>
    <row r="525" spans="1:10" x14ac:dyDescent="0.2">
      <c r="A525" s="233"/>
      <c r="B525" s="222" t="s">
        <v>107</v>
      </c>
      <c r="C525" s="222"/>
      <c r="D525" s="222"/>
      <c r="E525" s="231">
        <f t="shared" ref="E525:J525" si="101">E183</f>
        <v>2446015.46</v>
      </c>
      <c r="F525" s="231">
        <f t="shared" si="101"/>
        <v>5990300</v>
      </c>
      <c r="G525" s="231">
        <f t="shared" si="101"/>
        <v>5711500</v>
      </c>
      <c r="H525" s="231">
        <f t="shared" si="101"/>
        <v>6989600</v>
      </c>
      <c r="I525" s="231">
        <f t="shared" si="101"/>
        <v>7124000</v>
      </c>
      <c r="J525" s="231">
        <f t="shared" si="101"/>
        <v>7124000</v>
      </c>
    </row>
    <row r="526" spans="1:10" x14ac:dyDescent="0.2">
      <c r="A526" s="233"/>
      <c r="B526" s="222" t="s">
        <v>768</v>
      </c>
      <c r="C526" s="222"/>
      <c r="D526" s="222"/>
      <c r="E526" s="231">
        <f t="shared" ref="E526:J526" si="102">E251</f>
        <v>222275.38999999998</v>
      </c>
      <c r="F526" s="231">
        <f t="shared" si="102"/>
        <v>197000</v>
      </c>
      <c r="G526" s="231">
        <f t="shared" si="102"/>
        <v>208600</v>
      </c>
      <c r="H526" s="231">
        <f t="shared" si="102"/>
        <v>217000</v>
      </c>
      <c r="I526" s="231">
        <f t="shared" si="102"/>
        <v>217000</v>
      </c>
      <c r="J526" s="231">
        <f t="shared" si="102"/>
        <v>217000</v>
      </c>
    </row>
    <row r="527" spans="1:10" x14ac:dyDescent="0.2">
      <c r="A527" s="233"/>
      <c r="B527" s="222" t="s">
        <v>111</v>
      </c>
      <c r="C527" s="222"/>
      <c r="D527" s="222"/>
      <c r="E527" s="231">
        <f t="shared" ref="E527:J527" si="103">E320</f>
        <v>61825.65</v>
      </c>
      <c r="F527" s="231">
        <f t="shared" si="103"/>
        <v>92000</v>
      </c>
      <c r="G527" s="231">
        <f t="shared" si="103"/>
        <v>91900</v>
      </c>
      <c r="H527" s="231">
        <f t="shared" si="103"/>
        <v>96200</v>
      </c>
      <c r="I527" s="231">
        <f t="shared" si="103"/>
        <v>98500</v>
      </c>
      <c r="J527" s="231">
        <f t="shared" si="103"/>
        <v>101500</v>
      </c>
    </row>
    <row r="528" spans="1:10" x14ac:dyDescent="0.2">
      <c r="A528" s="222"/>
      <c r="B528" s="233" t="s">
        <v>769</v>
      </c>
      <c r="C528" s="233"/>
      <c r="D528" s="233"/>
      <c r="E528" s="231">
        <f t="shared" ref="E528:J528" si="104">E386</f>
        <v>6810421.1999999993</v>
      </c>
      <c r="F528" s="231">
        <f t="shared" si="104"/>
        <v>7491000</v>
      </c>
      <c r="G528" s="231">
        <f t="shared" si="104"/>
        <v>7177500</v>
      </c>
      <c r="H528" s="231">
        <f t="shared" si="104"/>
        <v>7291000</v>
      </c>
      <c r="I528" s="231">
        <f t="shared" si="104"/>
        <v>7291000</v>
      </c>
      <c r="J528" s="231">
        <f t="shared" si="104"/>
        <v>7291000</v>
      </c>
    </row>
    <row r="529" spans="1:10" x14ac:dyDescent="0.2">
      <c r="A529" s="233"/>
      <c r="B529" s="222" t="s">
        <v>115</v>
      </c>
      <c r="C529" s="222"/>
      <c r="D529" s="222"/>
      <c r="E529" s="231">
        <f t="shared" ref="E529:J529" si="105">E450</f>
        <v>30829.75</v>
      </c>
      <c r="F529" s="231">
        <f t="shared" si="105"/>
        <v>35200</v>
      </c>
      <c r="G529" s="231">
        <f t="shared" si="105"/>
        <v>31500</v>
      </c>
      <c r="H529" s="231">
        <f t="shared" si="105"/>
        <v>35200</v>
      </c>
      <c r="I529" s="231">
        <f t="shared" si="105"/>
        <v>35200</v>
      </c>
      <c r="J529" s="231">
        <f t="shared" si="105"/>
        <v>35200</v>
      </c>
    </row>
    <row r="530" spans="1:10" ht="15" thickBot="1" x14ac:dyDescent="0.25">
      <c r="A530" s="222"/>
      <c r="B530" s="222"/>
      <c r="C530" s="222" t="s">
        <v>390</v>
      </c>
      <c r="D530" s="235"/>
      <c r="E530" s="236">
        <f t="shared" ref="E530:J530" si="106">SUM(E524:E529)</f>
        <v>11430228.939999999</v>
      </c>
      <c r="F530" s="236">
        <f t="shared" si="106"/>
        <v>16133200</v>
      </c>
      <c r="G530" s="236">
        <f t="shared" si="106"/>
        <v>15598800</v>
      </c>
      <c r="H530" s="236">
        <f t="shared" si="106"/>
        <v>16901700</v>
      </c>
      <c r="I530" s="236">
        <f t="shared" si="106"/>
        <v>16988400</v>
      </c>
      <c r="J530" s="236">
        <f t="shared" si="106"/>
        <v>16991400</v>
      </c>
    </row>
    <row r="531" spans="1:10" x14ac:dyDescent="0.2">
      <c r="A531" s="222"/>
      <c r="B531" s="222"/>
      <c r="C531" s="222"/>
      <c r="D531" s="240"/>
      <c r="E531" s="242"/>
      <c r="F531" s="242"/>
      <c r="G531" s="242"/>
      <c r="H531" s="227"/>
      <c r="I531" s="227"/>
      <c r="J531" s="227"/>
    </row>
    <row r="532" spans="1:10" x14ac:dyDescent="0.2">
      <c r="A532" s="244" t="s">
        <v>15</v>
      </c>
      <c r="B532" s="222"/>
      <c r="C532" s="222"/>
      <c r="D532" s="222"/>
      <c r="E532" s="222"/>
      <c r="F532" s="222"/>
      <c r="G532" s="222"/>
      <c r="H532" s="222"/>
      <c r="I532" s="222"/>
      <c r="J532" s="222"/>
    </row>
    <row r="533" spans="1:10" x14ac:dyDescent="0.2">
      <c r="A533" s="233"/>
      <c r="B533" s="222" t="s">
        <v>767</v>
      </c>
      <c r="C533" s="222"/>
      <c r="D533" s="222"/>
      <c r="E533" s="231">
        <f t="shared" ref="E533:J533" si="107">E111</f>
        <v>584200</v>
      </c>
      <c r="F533" s="231">
        <f t="shared" si="107"/>
        <v>0</v>
      </c>
      <c r="G533" s="231">
        <f t="shared" si="107"/>
        <v>1976300</v>
      </c>
      <c r="H533" s="231">
        <f t="shared" si="107"/>
        <v>2480800</v>
      </c>
      <c r="I533" s="231">
        <f t="shared" si="107"/>
        <v>0</v>
      </c>
      <c r="J533" s="231">
        <f t="shared" si="107"/>
        <v>0</v>
      </c>
    </row>
    <row r="534" spans="1:10" x14ac:dyDescent="0.2">
      <c r="A534" s="233"/>
      <c r="B534" s="222" t="s">
        <v>107</v>
      </c>
      <c r="C534" s="222"/>
      <c r="D534" s="222"/>
      <c r="E534" s="231">
        <f t="shared" ref="E534:J534" si="108">E190</f>
        <v>0</v>
      </c>
      <c r="F534" s="231">
        <f t="shared" si="108"/>
        <v>0</v>
      </c>
      <c r="G534" s="231">
        <f t="shared" si="108"/>
        <v>0</v>
      </c>
      <c r="H534" s="231">
        <f t="shared" si="108"/>
        <v>0</v>
      </c>
      <c r="I534" s="231">
        <f t="shared" si="108"/>
        <v>0</v>
      </c>
      <c r="J534" s="231">
        <f t="shared" si="108"/>
        <v>0</v>
      </c>
    </row>
    <row r="535" spans="1:10" x14ac:dyDescent="0.2">
      <c r="A535" s="233"/>
      <c r="B535" s="222" t="s">
        <v>768</v>
      </c>
      <c r="C535" s="222"/>
      <c r="D535" s="222"/>
      <c r="E535" s="231">
        <f t="shared" ref="E535:J535" si="109">E259</f>
        <v>0</v>
      </c>
      <c r="F535" s="231">
        <f t="shared" si="109"/>
        <v>0</v>
      </c>
      <c r="G535" s="231">
        <f t="shared" si="109"/>
        <v>0</v>
      </c>
      <c r="H535" s="231">
        <f t="shared" si="109"/>
        <v>0</v>
      </c>
      <c r="I535" s="231">
        <f t="shared" si="109"/>
        <v>0</v>
      </c>
      <c r="J535" s="231">
        <f t="shared" si="109"/>
        <v>0</v>
      </c>
    </row>
    <row r="536" spans="1:10" x14ac:dyDescent="0.2">
      <c r="A536" s="233"/>
      <c r="B536" s="222" t="s">
        <v>111</v>
      </c>
      <c r="C536" s="222"/>
      <c r="D536" s="222"/>
      <c r="E536" s="231">
        <f t="shared" ref="E536:J536" si="110">E328</f>
        <v>0</v>
      </c>
      <c r="F536" s="231">
        <f t="shared" si="110"/>
        <v>0</v>
      </c>
      <c r="G536" s="231">
        <f t="shared" si="110"/>
        <v>0</v>
      </c>
      <c r="H536" s="231">
        <f t="shared" si="110"/>
        <v>0</v>
      </c>
      <c r="I536" s="231">
        <f t="shared" si="110"/>
        <v>0</v>
      </c>
      <c r="J536" s="231">
        <f t="shared" si="110"/>
        <v>0</v>
      </c>
    </row>
    <row r="537" spans="1:10" x14ac:dyDescent="0.2">
      <c r="A537" s="233"/>
      <c r="B537" s="233" t="s">
        <v>769</v>
      </c>
      <c r="C537" s="233"/>
      <c r="D537" s="233"/>
      <c r="E537" s="231">
        <f t="shared" ref="E537:J537" si="111">E393</f>
        <v>0</v>
      </c>
      <c r="F537" s="231">
        <f t="shared" si="111"/>
        <v>0</v>
      </c>
      <c r="G537" s="231">
        <f t="shared" si="111"/>
        <v>0</v>
      </c>
      <c r="H537" s="231">
        <f t="shared" si="111"/>
        <v>0</v>
      </c>
      <c r="I537" s="231">
        <f t="shared" si="111"/>
        <v>0</v>
      </c>
      <c r="J537" s="231">
        <f t="shared" si="111"/>
        <v>0</v>
      </c>
    </row>
    <row r="538" spans="1:10" x14ac:dyDescent="0.2">
      <c r="A538" s="233"/>
      <c r="B538" s="222" t="s">
        <v>115</v>
      </c>
      <c r="C538" s="222"/>
      <c r="D538" s="222"/>
      <c r="E538" s="231">
        <f t="shared" ref="E538:J538" si="112">E458</f>
        <v>0</v>
      </c>
      <c r="F538" s="231">
        <f t="shared" si="112"/>
        <v>0</v>
      </c>
      <c r="G538" s="231">
        <f t="shared" si="112"/>
        <v>0</v>
      </c>
      <c r="H538" s="231">
        <f t="shared" si="112"/>
        <v>0</v>
      </c>
      <c r="I538" s="231">
        <f t="shared" si="112"/>
        <v>0</v>
      </c>
      <c r="J538" s="231">
        <f t="shared" si="112"/>
        <v>0</v>
      </c>
    </row>
    <row r="539" spans="1:10" ht="15" thickBot="1" x14ac:dyDescent="0.25">
      <c r="A539" s="243"/>
      <c r="B539" s="243" t="s">
        <v>69</v>
      </c>
      <c r="C539" s="240"/>
      <c r="D539" s="222"/>
      <c r="E539" s="236">
        <f t="shared" ref="E539:J539" si="113">SUM(E533:E538)</f>
        <v>584200</v>
      </c>
      <c r="F539" s="236">
        <f t="shared" si="113"/>
        <v>0</v>
      </c>
      <c r="G539" s="236">
        <f t="shared" si="113"/>
        <v>1976300</v>
      </c>
      <c r="H539" s="236">
        <f t="shared" si="113"/>
        <v>2480800</v>
      </c>
      <c r="I539" s="236">
        <f t="shared" si="113"/>
        <v>0</v>
      </c>
      <c r="J539" s="236">
        <f t="shared" si="113"/>
        <v>0</v>
      </c>
    </row>
    <row r="540" spans="1:10" x14ac:dyDescent="0.2">
      <c r="A540" s="222"/>
      <c r="B540" s="222"/>
      <c r="C540" s="222"/>
      <c r="D540" s="222"/>
      <c r="E540" s="242"/>
      <c r="F540" s="242"/>
      <c r="G540" s="242"/>
      <c r="H540" s="227"/>
      <c r="I540" s="227"/>
      <c r="J540" s="227"/>
    </row>
    <row r="541" spans="1:10" ht="15" thickBot="1" x14ac:dyDescent="0.25">
      <c r="A541" s="222"/>
      <c r="B541" s="222"/>
      <c r="C541" s="222"/>
      <c r="D541" s="222"/>
      <c r="E541" s="240"/>
      <c r="F541" s="276" t="s">
        <v>391</v>
      </c>
      <c r="G541" s="240"/>
      <c r="H541" s="240"/>
      <c r="I541" s="245"/>
      <c r="J541" s="245"/>
    </row>
    <row r="542" spans="1:10" ht="15" thickTop="1" x14ac:dyDescent="0.2">
      <c r="A542" s="246"/>
      <c r="B542" s="246"/>
      <c r="C542" s="246"/>
      <c r="D542" s="246"/>
      <c r="E542" s="246"/>
      <c r="F542" s="277"/>
      <c r="G542" s="246"/>
      <c r="H542" s="246"/>
      <c r="I542" s="246"/>
      <c r="J542" s="246"/>
    </row>
    <row r="543" spans="1:10" x14ac:dyDescent="0.2">
      <c r="A543" s="247"/>
      <c r="B543" s="247">
        <v>210</v>
      </c>
      <c r="C543" s="222" t="s">
        <v>7</v>
      </c>
      <c r="D543" s="222"/>
      <c r="E543" s="231">
        <f t="shared" ref="E543:J558" si="114">SUMIF($A$64:$A$955,$B543,E$64:E$955)</f>
        <v>2526221.9899999993</v>
      </c>
      <c r="F543" s="231">
        <f t="shared" si="114"/>
        <v>2675300</v>
      </c>
      <c r="G543" s="231">
        <f t="shared" si="114"/>
        <v>2621300</v>
      </c>
      <c r="H543" s="231">
        <f t="shared" si="114"/>
        <v>2854900</v>
      </c>
      <c r="I543" s="231">
        <f t="shared" si="114"/>
        <v>2937700</v>
      </c>
      <c r="J543" s="231">
        <f t="shared" si="114"/>
        <v>2992300</v>
      </c>
    </row>
    <row r="544" spans="1:10" x14ac:dyDescent="0.2">
      <c r="A544" s="247"/>
      <c r="B544" s="247">
        <v>212</v>
      </c>
      <c r="C544" s="222" t="s">
        <v>9</v>
      </c>
      <c r="D544" s="222"/>
      <c r="E544" s="231">
        <f t="shared" si="114"/>
        <v>100587.07</v>
      </c>
      <c r="F544" s="231">
        <f t="shared" si="114"/>
        <v>106400</v>
      </c>
      <c r="G544" s="231">
        <f t="shared" si="114"/>
        <v>102700</v>
      </c>
      <c r="H544" s="231">
        <f t="shared" si="114"/>
        <v>106400</v>
      </c>
      <c r="I544" s="231">
        <f t="shared" si="114"/>
        <v>106400</v>
      </c>
      <c r="J544" s="231">
        <f t="shared" si="114"/>
        <v>106400</v>
      </c>
    </row>
    <row r="545" spans="1:10" x14ac:dyDescent="0.2">
      <c r="A545" s="247"/>
      <c r="B545" s="247">
        <v>213</v>
      </c>
      <c r="C545" s="222" t="s">
        <v>201</v>
      </c>
      <c r="D545" s="222"/>
      <c r="E545" s="231">
        <f t="shared" si="114"/>
        <v>0</v>
      </c>
      <c r="F545" s="231">
        <f t="shared" si="114"/>
        <v>0</v>
      </c>
      <c r="G545" s="231">
        <f t="shared" si="114"/>
        <v>0</v>
      </c>
      <c r="H545" s="231">
        <f t="shared" si="114"/>
        <v>0</v>
      </c>
      <c r="I545" s="231">
        <f t="shared" si="114"/>
        <v>0</v>
      </c>
      <c r="J545" s="231">
        <f t="shared" si="114"/>
        <v>0</v>
      </c>
    </row>
    <row r="546" spans="1:10" x14ac:dyDescent="0.2">
      <c r="A546" s="247"/>
      <c r="B546" s="247">
        <v>216</v>
      </c>
      <c r="C546" s="222" t="s">
        <v>10</v>
      </c>
      <c r="D546" s="222"/>
      <c r="E546" s="231">
        <f t="shared" si="114"/>
        <v>403225.04</v>
      </c>
      <c r="F546" s="231">
        <f t="shared" si="114"/>
        <v>411900</v>
      </c>
      <c r="G546" s="231">
        <f t="shared" si="114"/>
        <v>421500</v>
      </c>
      <c r="H546" s="231">
        <f t="shared" si="114"/>
        <v>429100</v>
      </c>
      <c r="I546" s="231">
        <f t="shared" si="114"/>
        <v>411900</v>
      </c>
      <c r="J546" s="231">
        <f t="shared" si="114"/>
        <v>411900</v>
      </c>
    </row>
    <row r="547" spans="1:10" x14ac:dyDescent="0.2">
      <c r="A547" s="247"/>
      <c r="B547" s="247">
        <v>218</v>
      </c>
      <c r="C547" s="222" t="s">
        <v>202</v>
      </c>
      <c r="D547" s="222"/>
      <c r="E547" s="231">
        <f t="shared" si="114"/>
        <v>13762836.4</v>
      </c>
      <c r="F547" s="231">
        <f t="shared" si="114"/>
        <v>12412300</v>
      </c>
      <c r="G547" s="231">
        <f t="shared" si="114"/>
        <v>11902900</v>
      </c>
      <c r="H547" s="231">
        <f t="shared" si="114"/>
        <v>11095800</v>
      </c>
      <c r="I547" s="231">
        <f t="shared" si="114"/>
        <v>11129300</v>
      </c>
      <c r="J547" s="231">
        <f t="shared" si="114"/>
        <v>11119900</v>
      </c>
    </row>
    <row r="548" spans="1:10" x14ac:dyDescent="0.2">
      <c r="A548" s="247"/>
      <c r="B548" s="247">
        <v>219</v>
      </c>
      <c r="C548" s="222" t="s">
        <v>203</v>
      </c>
      <c r="D548" s="222"/>
      <c r="E548" s="231">
        <f t="shared" si="114"/>
        <v>0</v>
      </c>
      <c r="F548" s="231">
        <f t="shared" si="114"/>
        <v>0</v>
      </c>
      <c r="G548" s="231">
        <f t="shared" si="114"/>
        <v>0</v>
      </c>
      <c r="H548" s="231">
        <f t="shared" si="114"/>
        <v>0</v>
      </c>
      <c r="I548" s="231">
        <f t="shared" si="114"/>
        <v>0</v>
      </c>
      <c r="J548" s="231">
        <f t="shared" si="114"/>
        <v>0</v>
      </c>
    </row>
    <row r="549" spans="1:10" x14ac:dyDescent="0.2">
      <c r="A549" s="247"/>
      <c r="B549" s="247">
        <v>220</v>
      </c>
      <c r="C549" s="222" t="s">
        <v>204</v>
      </c>
      <c r="D549" s="222"/>
      <c r="E549" s="231">
        <f t="shared" si="114"/>
        <v>0</v>
      </c>
      <c r="F549" s="231">
        <f t="shared" si="114"/>
        <v>0</v>
      </c>
      <c r="G549" s="231">
        <f t="shared" si="114"/>
        <v>0</v>
      </c>
      <c r="H549" s="231">
        <f t="shared" si="114"/>
        <v>0</v>
      </c>
      <c r="I549" s="231">
        <f t="shared" si="114"/>
        <v>0</v>
      </c>
      <c r="J549" s="231">
        <f t="shared" si="114"/>
        <v>0</v>
      </c>
    </row>
    <row r="550" spans="1:10" x14ac:dyDescent="0.2">
      <c r="A550" s="247"/>
      <c r="B550" s="247">
        <v>222</v>
      </c>
      <c r="C550" s="222" t="s">
        <v>205</v>
      </c>
      <c r="D550" s="222"/>
      <c r="E550" s="231">
        <f t="shared" si="114"/>
        <v>37274.480000000003</v>
      </c>
      <c r="F550" s="231">
        <f t="shared" si="114"/>
        <v>37700</v>
      </c>
      <c r="G550" s="231">
        <f t="shared" si="114"/>
        <v>76700</v>
      </c>
      <c r="H550" s="231">
        <f t="shared" si="114"/>
        <v>37700</v>
      </c>
      <c r="I550" s="231">
        <f t="shared" si="114"/>
        <v>37700</v>
      </c>
      <c r="J550" s="231">
        <f t="shared" si="114"/>
        <v>37700</v>
      </c>
    </row>
    <row r="551" spans="1:10" x14ac:dyDescent="0.2">
      <c r="A551" s="247"/>
      <c r="B551" s="247">
        <v>224</v>
      </c>
      <c r="C551" s="222" t="s">
        <v>206</v>
      </c>
      <c r="D551" s="222"/>
      <c r="E551" s="231">
        <f t="shared" si="114"/>
        <v>1306715.1099999999</v>
      </c>
      <c r="F551" s="231">
        <f t="shared" si="114"/>
        <v>1492000</v>
      </c>
      <c r="G551" s="231">
        <f t="shared" si="114"/>
        <v>1414800</v>
      </c>
      <c r="H551" s="231">
        <f t="shared" si="114"/>
        <v>1392000</v>
      </c>
      <c r="I551" s="231">
        <f t="shared" si="114"/>
        <v>1392000</v>
      </c>
      <c r="J551" s="231">
        <f t="shared" si="114"/>
        <v>1392000</v>
      </c>
    </row>
    <row r="552" spans="1:10" x14ac:dyDescent="0.2">
      <c r="A552" s="247"/>
      <c r="B552" s="247">
        <v>226</v>
      </c>
      <c r="C552" s="222" t="s">
        <v>207</v>
      </c>
      <c r="D552" s="222"/>
      <c r="E552" s="231">
        <f t="shared" si="114"/>
        <v>68651.22</v>
      </c>
      <c r="F552" s="231">
        <f t="shared" si="114"/>
        <v>74800</v>
      </c>
      <c r="G552" s="231">
        <f t="shared" si="114"/>
        <v>67200</v>
      </c>
      <c r="H552" s="231">
        <f t="shared" si="114"/>
        <v>74800</v>
      </c>
      <c r="I552" s="231">
        <f t="shared" si="114"/>
        <v>74800</v>
      </c>
      <c r="J552" s="231">
        <f t="shared" si="114"/>
        <v>74800</v>
      </c>
    </row>
    <row r="553" spans="1:10" x14ac:dyDescent="0.2">
      <c r="A553" s="247"/>
      <c r="B553" s="247">
        <v>228</v>
      </c>
      <c r="C553" s="222" t="s">
        <v>208</v>
      </c>
      <c r="D553" s="222"/>
      <c r="E553" s="231">
        <f t="shared" si="114"/>
        <v>208317.62</v>
      </c>
      <c r="F553" s="231">
        <f t="shared" si="114"/>
        <v>187000</v>
      </c>
      <c r="G553" s="231">
        <f t="shared" si="114"/>
        <v>205700</v>
      </c>
      <c r="H553" s="231">
        <f t="shared" si="114"/>
        <v>206500</v>
      </c>
      <c r="I553" s="231">
        <f t="shared" si="114"/>
        <v>207000</v>
      </c>
      <c r="J553" s="231">
        <f t="shared" si="114"/>
        <v>207000</v>
      </c>
    </row>
    <row r="554" spans="1:10" x14ac:dyDescent="0.2">
      <c r="A554" s="247"/>
      <c r="B554" s="247">
        <v>229</v>
      </c>
      <c r="C554" s="222" t="s">
        <v>209</v>
      </c>
      <c r="D554" s="222"/>
      <c r="E554" s="231">
        <f t="shared" si="114"/>
        <v>72962.209999999992</v>
      </c>
      <c r="F554" s="231">
        <f t="shared" si="114"/>
        <v>86100</v>
      </c>
      <c r="G554" s="231">
        <f t="shared" si="114"/>
        <v>205200</v>
      </c>
      <c r="H554" s="231">
        <f t="shared" si="114"/>
        <v>83300</v>
      </c>
      <c r="I554" s="231">
        <f t="shared" si="114"/>
        <v>85100</v>
      </c>
      <c r="J554" s="231">
        <f t="shared" si="114"/>
        <v>88100</v>
      </c>
    </row>
    <row r="555" spans="1:10" x14ac:dyDescent="0.2">
      <c r="A555" s="247"/>
      <c r="B555" s="247">
        <v>230</v>
      </c>
      <c r="C555" s="222" t="s">
        <v>210</v>
      </c>
      <c r="D555" s="222"/>
      <c r="E555" s="231">
        <f t="shared" si="114"/>
        <v>46673.68</v>
      </c>
      <c r="F555" s="231">
        <f t="shared" si="114"/>
        <v>36000</v>
      </c>
      <c r="G555" s="231">
        <f t="shared" si="114"/>
        <v>26700</v>
      </c>
      <c r="H555" s="231">
        <f t="shared" si="114"/>
        <v>35500</v>
      </c>
      <c r="I555" s="231">
        <f t="shared" si="114"/>
        <v>35500</v>
      </c>
      <c r="J555" s="231">
        <f t="shared" si="114"/>
        <v>35500</v>
      </c>
    </row>
    <row r="556" spans="1:10" x14ac:dyDescent="0.2">
      <c r="A556" s="247"/>
      <c r="B556" s="247">
        <v>232</v>
      </c>
      <c r="C556" s="222" t="s">
        <v>211</v>
      </c>
      <c r="D556" s="222"/>
      <c r="E556" s="231">
        <f t="shared" si="114"/>
        <v>503442.46</v>
      </c>
      <c r="F556" s="231">
        <f t="shared" si="114"/>
        <v>510100</v>
      </c>
      <c r="G556" s="231">
        <f t="shared" si="114"/>
        <v>508600</v>
      </c>
      <c r="H556" s="231">
        <f t="shared" si="114"/>
        <v>680100</v>
      </c>
      <c r="I556" s="231">
        <f t="shared" si="114"/>
        <v>630100</v>
      </c>
      <c r="J556" s="231">
        <f t="shared" si="114"/>
        <v>630100</v>
      </c>
    </row>
    <row r="557" spans="1:10" x14ac:dyDescent="0.2">
      <c r="A557" s="247"/>
      <c r="B557" s="247">
        <v>234</v>
      </c>
      <c r="C557" s="222" t="s">
        <v>212</v>
      </c>
      <c r="D557" s="222"/>
      <c r="E557" s="231">
        <f t="shared" si="114"/>
        <v>352638.65</v>
      </c>
      <c r="F557" s="231">
        <f t="shared" si="114"/>
        <v>390900</v>
      </c>
      <c r="G557" s="231">
        <f t="shared" si="114"/>
        <v>403500</v>
      </c>
      <c r="H557" s="231">
        <f t="shared" si="114"/>
        <v>390900</v>
      </c>
      <c r="I557" s="231">
        <f t="shared" si="114"/>
        <v>390900</v>
      </c>
      <c r="J557" s="231">
        <f t="shared" si="114"/>
        <v>390900</v>
      </c>
    </row>
    <row r="558" spans="1:10" x14ac:dyDescent="0.2">
      <c r="A558" s="247"/>
      <c r="B558" s="247">
        <v>236</v>
      </c>
      <c r="C558" s="222" t="s">
        <v>213</v>
      </c>
      <c r="D558" s="222"/>
      <c r="E558" s="231">
        <f t="shared" si="114"/>
        <v>965333.68</v>
      </c>
      <c r="F558" s="231">
        <f t="shared" si="114"/>
        <v>4553000</v>
      </c>
      <c r="G558" s="231">
        <f t="shared" si="114"/>
        <v>3969800</v>
      </c>
      <c r="H558" s="231">
        <f t="shared" si="114"/>
        <v>5127300</v>
      </c>
      <c r="I558" s="231">
        <f t="shared" si="114"/>
        <v>5286700</v>
      </c>
      <c r="J558" s="231">
        <f t="shared" si="114"/>
        <v>5286700</v>
      </c>
    </row>
    <row r="559" spans="1:10" x14ac:dyDescent="0.2">
      <c r="A559" s="247"/>
      <c r="B559" s="247">
        <v>238</v>
      </c>
      <c r="C559" s="222" t="s">
        <v>214</v>
      </c>
      <c r="D559" s="222"/>
      <c r="E559" s="231">
        <f t="shared" ref="E559:J574" si="115">SUMIF($A$64:$A$955,$B559,E$64:E$955)</f>
        <v>0</v>
      </c>
      <c r="F559" s="231">
        <f t="shared" si="115"/>
        <v>0</v>
      </c>
      <c r="G559" s="231">
        <f t="shared" si="115"/>
        <v>0</v>
      </c>
      <c r="H559" s="231">
        <f t="shared" si="115"/>
        <v>0</v>
      </c>
      <c r="I559" s="231">
        <f t="shared" si="115"/>
        <v>0</v>
      </c>
      <c r="J559" s="231">
        <f t="shared" si="115"/>
        <v>0</v>
      </c>
    </row>
    <row r="560" spans="1:10" x14ac:dyDescent="0.2">
      <c r="A560" s="247"/>
      <c r="B560" s="247">
        <v>240</v>
      </c>
      <c r="C560" s="222" t="s">
        <v>215</v>
      </c>
      <c r="D560" s="222"/>
      <c r="E560" s="231">
        <f t="shared" si="115"/>
        <v>0</v>
      </c>
      <c r="F560" s="231">
        <f t="shared" si="115"/>
        <v>0</v>
      </c>
      <c r="G560" s="231">
        <f t="shared" si="115"/>
        <v>0</v>
      </c>
      <c r="H560" s="231">
        <f t="shared" si="115"/>
        <v>0</v>
      </c>
      <c r="I560" s="231">
        <f t="shared" si="115"/>
        <v>0</v>
      </c>
      <c r="J560" s="231">
        <f t="shared" si="115"/>
        <v>0</v>
      </c>
    </row>
    <row r="561" spans="1:10" x14ac:dyDescent="0.2">
      <c r="A561" s="247"/>
      <c r="B561" s="247">
        <v>242</v>
      </c>
      <c r="C561" s="222" t="s">
        <v>216</v>
      </c>
      <c r="D561" s="222"/>
      <c r="E561" s="231">
        <f t="shared" si="115"/>
        <v>1939314.52</v>
      </c>
      <c r="F561" s="231">
        <f t="shared" si="115"/>
        <v>2161800</v>
      </c>
      <c r="G561" s="231">
        <f t="shared" si="115"/>
        <v>2361400</v>
      </c>
      <c r="H561" s="231">
        <f t="shared" si="115"/>
        <v>2366800</v>
      </c>
      <c r="I561" s="231">
        <f t="shared" si="115"/>
        <v>2366800</v>
      </c>
      <c r="J561" s="231">
        <f t="shared" si="115"/>
        <v>2366800</v>
      </c>
    </row>
    <row r="562" spans="1:10" x14ac:dyDescent="0.2">
      <c r="A562" s="247"/>
      <c r="B562" s="247">
        <v>244</v>
      </c>
      <c r="C562" s="222" t="s">
        <v>217</v>
      </c>
      <c r="D562" s="222"/>
      <c r="E562" s="231">
        <f t="shared" si="115"/>
        <v>19057.45</v>
      </c>
      <c r="F562" s="231">
        <f t="shared" si="115"/>
        <v>20000</v>
      </c>
      <c r="G562" s="231">
        <f t="shared" si="115"/>
        <v>20000</v>
      </c>
      <c r="H562" s="231">
        <f t="shared" si="115"/>
        <v>20000</v>
      </c>
      <c r="I562" s="231">
        <f t="shared" si="115"/>
        <v>20000</v>
      </c>
      <c r="J562" s="231">
        <f t="shared" si="115"/>
        <v>20000</v>
      </c>
    </row>
    <row r="563" spans="1:10" x14ac:dyDescent="0.2">
      <c r="A563" s="247"/>
      <c r="B563" s="247">
        <v>246</v>
      </c>
      <c r="C563" s="222" t="s">
        <v>218</v>
      </c>
      <c r="D563" s="222"/>
      <c r="E563" s="231">
        <f t="shared" si="115"/>
        <v>2617.1999999999998</v>
      </c>
      <c r="F563" s="231">
        <f t="shared" si="115"/>
        <v>5000</v>
      </c>
      <c r="G563" s="231">
        <f t="shared" si="115"/>
        <v>5000</v>
      </c>
      <c r="H563" s="231">
        <f t="shared" si="115"/>
        <v>5000</v>
      </c>
      <c r="I563" s="231">
        <f t="shared" si="115"/>
        <v>5000</v>
      </c>
      <c r="J563" s="231">
        <f t="shared" si="115"/>
        <v>5000</v>
      </c>
    </row>
    <row r="564" spans="1:10" x14ac:dyDescent="0.2">
      <c r="A564" s="247"/>
      <c r="B564" s="247">
        <v>247</v>
      </c>
      <c r="C564" s="222" t="s">
        <v>219</v>
      </c>
      <c r="D564" s="222"/>
      <c r="E564" s="231">
        <f t="shared" si="115"/>
        <v>0</v>
      </c>
      <c r="F564" s="231">
        <f t="shared" si="115"/>
        <v>0</v>
      </c>
      <c r="G564" s="231">
        <f t="shared" si="115"/>
        <v>0</v>
      </c>
      <c r="H564" s="231">
        <f t="shared" si="115"/>
        <v>0</v>
      </c>
      <c r="I564" s="231">
        <f t="shared" si="115"/>
        <v>0</v>
      </c>
      <c r="J564" s="231">
        <f t="shared" si="115"/>
        <v>0</v>
      </c>
    </row>
    <row r="565" spans="1:10" x14ac:dyDescent="0.2">
      <c r="A565" s="247"/>
      <c r="B565" s="247">
        <v>260</v>
      </c>
      <c r="C565" s="222" t="s">
        <v>220</v>
      </c>
      <c r="D565" s="222"/>
      <c r="E565" s="231">
        <f t="shared" si="115"/>
        <v>35000.800000000003</v>
      </c>
      <c r="F565" s="231">
        <f t="shared" si="115"/>
        <v>54300</v>
      </c>
      <c r="G565" s="231">
        <f t="shared" si="115"/>
        <v>55300</v>
      </c>
      <c r="H565" s="231">
        <f t="shared" si="115"/>
        <v>57600</v>
      </c>
      <c r="I565" s="231">
        <f t="shared" si="115"/>
        <v>57600</v>
      </c>
      <c r="J565" s="231">
        <f t="shared" si="115"/>
        <v>57600</v>
      </c>
    </row>
    <row r="566" spans="1:10" x14ac:dyDescent="0.2">
      <c r="A566" s="247"/>
      <c r="B566" s="247">
        <v>261</v>
      </c>
      <c r="C566" s="222" t="s">
        <v>221</v>
      </c>
      <c r="D566" s="222"/>
      <c r="E566" s="231">
        <f t="shared" si="115"/>
        <v>5813533.5099999998</v>
      </c>
      <c r="F566" s="231">
        <f t="shared" si="115"/>
        <v>6400000</v>
      </c>
      <c r="G566" s="231">
        <f t="shared" si="115"/>
        <v>6150000</v>
      </c>
      <c r="H566" s="231">
        <f t="shared" si="115"/>
        <v>6250000</v>
      </c>
      <c r="I566" s="231">
        <f t="shared" si="115"/>
        <v>6250000</v>
      </c>
      <c r="J566" s="231">
        <f t="shared" si="115"/>
        <v>6250000</v>
      </c>
    </row>
    <row r="567" spans="1:10" x14ac:dyDescent="0.2">
      <c r="A567" s="247"/>
      <c r="B567" s="247">
        <v>265</v>
      </c>
      <c r="C567" s="222" t="s">
        <v>222</v>
      </c>
      <c r="D567" s="222"/>
      <c r="E567" s="231">
        <f t="shared" si="115"/>
        <v>0</v>
      </c>
      <c r="F567" s="231">
        <f t="shared" si="115"/>
        <v>0</v>
      </c>
      <c r="G567" s="231">
        <f t="shared" si="115"/>
        <v>0</v>
      </c>
      <c r="H567" s="231">
        <f t="shared" si="115"/>
        <v>0</v>
      </c>
      <c r="I567" s="231">
        <f t="shared" si="115"/>
        <v>0</v>
      </c>
      <c r="J567" s="231">
        <f t="shared" si="115"/>
        <v>0</v>
      </c>
    </row>
    <row r="568" spans="1:10" x14ac:dyDescent="0.2">
      <c r="A568" s="247"/>
      <c r="B568" s="247">
        <v>266</v>
      </c>
      <c r="C568" s="222" t="s">
        <v>223</v>
      </c>
      <c r="D568" s="222"/>
      <c r="E568" s="231">
        <f t="shared" si="115"/>
        <v>0</v>
      </c>
      <c r="F568" s="231">
        <f t="shared" si="115"/>
        <v>0</v>
      </c>
      <c r="G568" s="231">
        <f t="shared" si="115"/>
        <v>0</v>
      </c>
      <c r="H568" s="231">
        <f t="shared" si="115"/>
        <v>0</v>
      </c>
      <c r="I568" s="231">
        <f t="shared" si="115"/>
        <v>0</v>
      </c>
      <c r="J568" s="231">
        <f t="shared" si="115"/>
        <v>0</v>
      </c>
    </row>
    <row r="569" spans="1:10" x14ac:dyDescent="0.2">
      <c r="A569" s="247"/>
      <c r="B569" s="247">
        <v>270</v>
      </c>
      <c r="C569" s="222" t="s">
        <v>224</v>
      </c>
      <c r="D569" s="222"/>
      <c r="E569" s="231">
        <f t="shared" si="115"/>
        <v>0</v>
      </c>
      <c r="F569" s="231">
        <f t="shared" si="115"/>
        <v>0</v>
      </c>
      <c r="G569" s="231">
        <f t="shared" si="115"/>
        <v>0</v>
      </c>
      <c r="H569" s="231">
        <f t="shared" si="115"/>
        <v>0</v>
      </c>
      <c r="I569" s="231">
        <f t="shared" si="115"/>
        <v>0</v>
      </c>
      <c r="J569" s="231">
        <f t="shared" si="115"/>
        <v>0</v>
      </c>
    </row>
    <row r="570" spans="1:10" x14ac:dyDescent="0.2">
      <c r="A570" s="247"/>
      <c r="B570" s="247">
        <v>272</v>
      </c>
      <c r="C570" s="222" t="s">
        <v>225</v>
      </c>
      <c r="D570" s="222"/>
      <c r="E570" s="231">
        <f t="shared" si="115"/>
        <v>0</v>
      </c>
      <c r="F570" s="231">
        <f t="shared" si="115"/>
        <v>50000</v>
      </c>
      <c r="G570" s="231">
        <f t="shared" si="115"/>
        <v>86300</v>
      </c>
      <c r="H570" s="231">
        <f t="shared" si="115"/>
        <v>100000</v>
      </c>
      <c r="I570" s="231">
        <f t="shared" si="115"/>
        <v>75000</v>
      </c>
      <c r="J570" s="231">
        <f t="shared" si="115"/>
        <v>75000</v>
      </c>
    </row>
    <row r="571" spans="1:10" x14ac:dyDescent="0.2">
      <c r="A571" s="247"/>
      <c r="B571" s="247">
        <v>273</v>
      </c>
      <c r="C571" s="222" t="s">
        <v>226</v>
      </c>
      <c r="D571" s="222"/>
      <c r="E571" s="231">
        <f t="shared" si="115"/>
        <v>0</v>
      </c>
      <c r="F571" s="231">
        <f t="shared" si="115"/>
        <v>0</v>
      </c>
      <c r="G571" s="231">
        <f t="shared" si="115"/>
        <v>0</v>
      </c>
      <c r="H571" s="231">
        <f t="shared" si="115"/>
        <v>0</v>
      </c>
      <c r="I571" s="231">
        <f t="shared" si="115"/>
        <v>0</v>
      </c>
      <c r="J571" s="231">
        <f t="shared" si="115"/>
        <v>0</v>
      </c>
    </row>
    <row r="572" spans="1:10" x14ac:dyDescent="0.2">
      <c r="A572" s="247"/>
      <c r="B572" s="247">
        <v>274</v>
      </c>
      <c r="C572" s="222" t="s">
        <v>227</v>
      </c>
      <c r="D572" s="222"/>
      <c r="E572" s="231">
        <f t="shared" si="115"/>
        <v>44915.13</v>
      </c>
      <c r="F572" s="231">
        <f t="shared" si="115"/>
        <v>50000</v>
      </c>
      <c r="G572" s="231">
        <f t="shared" si="115"/>
        <v>24300</v>
      </c>
      <c r="H572" s="231">
        <f t="shared" si="115"/>
        <v>50000</v>
      </c>
      <c r="I572" s="231">
        <f t="shared" si="115"/>
        <v>50000</v>
      </c>
      <c r="J572" s="231">
        <f t="shared" si="115"/>
        <v>50000</v>
      </c>
    </row>
    <row r="573" spans="1:10" x14ac:dyDescent="0.2">
      <c r="A573" s="247"/>
      <c r="B573" s="247">
        <v>275</v>
      </c>
      <c r="C573" s="222" t="s">
        <v>228</v>
      </c>
      <c r="D573" s="222"/>
      <c r="E573" s="231">
        <f t="shared" si="115"/>
        <v>13781.22</v>
      </c>
      <c r="F573" s="231">
        <f t="shared" si="115"/>
        <v>24500</v>
      </c>
      <c r="G573" s="231">
        <f t="shared" si="115"/>
        <v>18300</v>
      </c>
      <c r="H573" s="231">
        <f t="shared" si="115"/>
        <v>24200</v>
      </c>
      <c r="I573" s="231">
        <f t="shared" si="115"/>
        <v>24200</v>
      </c>
      <c r="J573" s="231">
        <f t="shared" si="115"/>
        <v>24200</v>
      </c>
    </row>
    <row r="574" spans="1:10" x14ac:dyDescent="0.2">
      <c r="A574" s="247"/>
      <c r="B574" s="247">
        <v>276</v>
      </c>
      <c r="C574" s="222" t="s">
        <v>229</v>
      </c>
      <c r="D574" s="222"/>
      <c r="E574" s="231">
        <f t="shared" si="115"/>
        <v>0</v>
      </c>
      <c r="F574" s="231">
        <f t="shared" si="115"/>
        <v>0</v>
      </c>
      <c r="G574" s="231">
        <f t="shared" si="115"/>
        <v>0</v>
      </c>
      <c r="H574" s="231">
        <f t="shared" si="115"/>
        <v>0</v>
      </c>
      <c r="I574" s="231">
        <f t="shared" si="115"/>
        <v>0</v>
      </c>
      <c r="J574" s="231">
        <f t="shared" si="115"/>
        <v>0</v>
      </c>
    </row>
    <row r="575" spans="1:10" x14ac:dyDescent="0.2">
      <c r="A575" s="247"/>
      <c r="B575" s="247">
        <v>277</v>
      </c>
      <c r="C575" s="222" t="s">
        <v>230</v>
      </c>
      <c r="D575" s="222"/>
      <c r="E575" s="231">
        <f t="shared" ref="E575:J586" si="116">SUMIF($A$64:$A$955,$B575,E$64:E$955)</f>
        <v>0</v>
      </c>
      <c r="F575" s="231">
        <f t="shared" si="116"/>
        <v>0</v>
      </c>
      <c r="G575" s="231">
        <f t="shared" si="116"/>
        <v>0</v>
      </c>
      <c r="H575" s="231">
        <f t="shared" si="116"/>
        <v>0</v>
      </c>
      <c r="I575" s="231">
        <f t="shared" si="116"/>
        <v>0</v>
      </c>
      <c r="J575" s="231">
        <f t="shared" si="116"/>
        <v>0</v>
      </c>
    </row>
    <row r="576" spans="1:10" x14ac:dyDescent="0.2">
      <c r="A576" s="247"/>
      <c r="B576" s="247">
        <v>278</v>
      </c>
      <c r="C576" s="222" t="s">
        <v>231</v>
      </c>
      <c r="D576" s="222"/>
      <c r="E576" s="231">
        <f t="shared" si="116"/>
        <v>0</v>
      </c>
      <c r="F576" s="231">
        <f t="shared" si="116"/>
        <v>0</v>
      </c>
      <c r="G576" s="231">
        <f t="shared" si="116"/>
        <v>0</v>
      </c>
      <c r="H576" s="231">
        <f t="shared" si="116"/>
        <v>0</v>
      </c>
      <c r="I576" s="231">
        <f t="shared" si="116"/>
        <v>0</v>
      </c>
      <c r="J576" s="231">
        <f t="shared" si="116"/>
        <v>0</v>
      </c>
    </row>
    <row r="577" spans="1:10" x14ac:dyDescent="0.2">
      <c r="A577" s="247"/>
      <c r="B577" s="247">
        <v>279</v>
      </c>
      <c r="C577" s="222" t="s">
        <v>232</v>
      </c>
      <c r="D577" s="222"/>
      <c r="E577" s="231">
        <f t="shared" si="116"/>
        <v>0</v>
      </c>
      <c r="F577" s="231">
        <f t="shared" si="116"/>
        <v>0</v>
      </c>
      <c r="G577" s="231">
        <f t="shared" si="116"/>
        <v>0</v>
      </c>
      <c r="H577" s="231">
        <f t="shared" si="116"/>
        <v>0</v>
      </c>
      <c r="I577" s="231">
        <f t="shared" si="116"/>
        <v>0</v>
      </c>
      <c r="J577" s="231">
        <f t="shared" si="116"/>
        <v>0</v>
      </c>
    </row>
    <row r="578" spans="1:10" x14ac:dyDescent="0.2">
      <c r="A578" s="247"/>
      <c r="B578" s="247">
        <v>280</v>
      </c>
      <c r="C578" s="222" t="s">
        <v>233</v>
      </c>
      <c r="D578" s="222"/>
      <c r="E578" s="231">
        <f t="shared" si="116"/>
        <v>0</v>
      </c>
      <c r="F578" s="231">
        <f t="shared" si="116"/>
        <v>0</v>
      </c>
      <c r="G578" s="231">
        <f t="shared" si="116"/>
        <v>0</v>
      </c>
      <c r="H578" s="231">
        <f t="shared" si="116"/>
        <v>0</v>
      </c>
      <c r="I578" s="231">
        <f t="shared" si="116"/>
        <v>0</v>
      </c>
      <c r="J578" s="231">
        <f t="shared" si="116"/>
        <v>0</v>
      </c>
    </row>
    <row r="579" spans="1:10" x14ac:dyDescent="0.2">
      <c r="A579" s="247"/>
      <c r="B579" s="247">
        <v>281</v>
      </c>
      <c r="C579" s="222" t="s">
        <v>234</v>
      </c>
      <c r="D579" s="222"/>
      <c r="E579" s="231">
        <f t="shared" si="116"/>
        <v>0</v>
      </c>
      <c r="F579" s="231">
        <f t="shared" si="116"/>
        <v>0</v>
      </c>
      <c r="G579" s="231">
        <f t="shared" si="116"/>
        <v>0</v>
      </c>
      <c r="H579" s="231">
        <f t="shared" si="116"/>
        <v>0</v>
      </c>
      <c r="I579" s="231">
        <f t="shared" si="116"/>
        <v>0</v>
      </c>
      <c r="J579" s="231">
        <f t="shared" si="116"/>
        <v>0</v>
      </c>
    </row>
    <row r="580" spans="1:10" x14ac:dyDescent="0.2">
      <c r="A580" s="247"/>
      <c r="B580" s="247">
        <v>282</v>
      </c>
      <c r="C580" s="222" t="s">
        <v>235</v>
      </c>
      <c r="D580" s="222"/>
      <c r="E580" s="231">
        <f t="shared" si="116"/>
        <v>0</v>
      </c>
      <c r="F580" s="231">
        <f t="shared" si="116"/>
        <v>0</v>
      </c>
      <c r="G580" s="231">
        <f t="shared" si="116"/>
        <v>0</v>
      </c>
      <c r="H580" s="231">
        <f t="shared" si="116"/>
        <v>0</v>
      </c>
      <c r="I580" s="231">
        <f t="shared" si="116"/>
        <v>0</v>
      </c>
      <c r="J580" s="231">
        <f t="shared" si="116"/>
        <v>0</v>
      </c>
    </row>
    <row r="581" spans="1:10" x14ac:dyDescent="0.2">
      <c r="A581" s="364"/>
      <c r="B581" s="247">
        <v>283</v>
      </c>
      <c r="C581" s="233" t="s">
        <v>236</v>
      </c>
      <c r="D581" s="233"/>
      <c r="E581" s="231">
        <f t="shared" si="116"/>
        <v>0</v>
      </c>
      <c r="F581" s="231">
        <f t="shared" si="116"/>
        <v>0</v>
      </c>
      <c r="G581" s="231">
        <f t="shared" si="116"/>
        <v>0</v>
      </c>
      <c r="H581" s="231">
        <f t="shared" si="116"/>
        <v>0</v>
      </c>
      <c r="I581" s="231">
        <f t="shared" si="116"/>
        <v>0</v>
      </c>
      <c r="J581" s="231">
        <f t="shared" si="116"/>
        <v>0</v>
      </c>
    </row>
    <row r="582" spans="1:10" x14ac:dyDescent="0.2">
      <c r="A582" s="247"/>
      <c r="B582" s="247">
        <v>290</v>
      </c>
      <c r="C582" s="222" t="s">
        <v>238</v>
      </c>
      <c r="D582" s="222"/>
      <c r="E582" s="231">
        <f t="shared" si="116"/>
        <v>0</v>
      </c>
      <c r="F582" s="231">
        <f t="shared" si="116"/>
        <v>0</v>
      </c>
      <c r="G582" s="231">
        <f t="shared" si="116"/>
        <v>0</v>
      </c>
      <c r="H582" s="231">
        <f t="shared" si="116"/>
        <v>0</v>
      </c>
      <c r="I582" s="231">
        <f t="shared" si="116"/>
        <v>0</v>
      </c>
      <c r="J582" s="231">
        <f t="shared" si="116"/>
        <v>0</v>
      </c>
    </row>
    <row r="583" spans="1:10" x14ac:dyDescent="0.2">
      <c r="A583" s="364"/>
      <c r="B583" s="247">
        <v>292</v>
      </c>
      <c r="C583" s="233" t="s">
        <v>239</v>
      </c>
      <c r="D583" s="233"/>
      <c r="E583" s="231">
        <f t="shared" si="116"/>
        <v>0</v>
      </c>
      <c r="F583" s="231">
        <f t="shared" si="116"/>
        <v>0</v>
      </c>
      <c r="G583" s="231">
        <f t="shared" si="116"/>
        <v>0</v>
      </c>
      <c r="H583" s="231">
        <f t="shared" si="116"/>
        <v>0</v>
      </c>
      <c r="I583" s="231">
        <f t="shared" si="116"/>
        <v>0</v>
      </c>
      <c r="J583" s="231">
        <f t="shared" si="116"/>
        <v>0</v>
      </c>
    </row>
    <row r="584" spans="1:10" x14ac:dyDescent="0.2">
      <c r="A584" s="364"/>
      <c r="B584" s="247">
        <v>293</v>
      </c>
      <c r="C584" s="233" t="s">
        <v>240</v>
      </c>
      <c r="D584" s="233"/>
      <c r="E584" s="231">
        <f t="shared" si="116"/>
        <v>0</v>
      </c>
      <c r="F584" s="231">
        <f t="shared" si="116"/>
        <v>0</v>
      </c>
      <c r="G584" s="231">
        <f t="shared" si="116"/>
        <v>0</v>
      </c>
      <c r="H584" s="231">
        <f t="shared" si="116"/>
        <v>0</v>
      </c>
      <c r="I584" s="231">
        <f t="shared" si="116"/>
        <v>0</v>
      </c>
      <c r="J584" s="231">
        <f t="shared" si="116"/>
        <v>0</v>
      </c>
    </row>
    <row r="585" spans="1:10" x14ac:dyDescent="0.2">
      <c r="A585" s="222"/>
      <c r="B585" s="247"/>
      <c r="C585" s="229" t="s">
        <v>770</v>
      </c>
      <c r="D585" s="240"/>
      <c r="E585" s="248">
        <f t="shared" ref="E585:J585" si="117">SUM(E543:E584)</f>
        <v>28223099.439999994</v>
      </c>
      <c r="F585" s="248">
        <f t="shared" si="117"/>
        <v>31739100</v>
      </c>
      <c r="G585" s="248">
        <f t="shared" si="117"/>
        <v>30647200</v>
      </c>
      <c r="H585" s="248">
        <f t="shared" si="117"/>
        <v>31387900</v>
      </c>
      <c r="I585" s="248">
        <f t="shared" si="117"/>
        <v>31573700</v>
      </c>
      <c r="J585" s="248">
        <f t="shared" si="117"/>
        <v>31621900</v>
      </c>
    </row>
  </sheetData>
  <mergeCells count="543">
    <mergeCell ref="A481:E481"/>
    <mergeCell ref="A482:J482"/>
    <mergeCell ref="A483:E483"/>
    <mergeCell ref="A484:E484"/>
    <mergeCell ref="A485:E485"/>
    <mergeCell ref="A475:J475"/>
    <mergeCell ref="A476:J476"/>
    <mergeCell ref="A477:J477"/>
    <mergeCell ref="A478:E478"/>
    <mergeCell ref="A479:J479"/>
    <mergeCell ref="A480:E480"/>
    <mergeCell ref="A469:J469"/>
    <mergeCell ref="A470:J470"/>
    <mergeCell ref="A471:J471"/>
    <mergeCell ref="A472:J472"/>
    <mergeCell ref="A473:J473"/>
    <mergeCell ref="A474:J474"/>
    <mergeCell ref="A464:C464"/>
    <mergeCell ref="F464:H464"/>
    <mergeCell ref="A465:I465"/>
    <mergeCell ref="A466:J466"/>
    <mergeCell ref="A467:J467"/>
    <mergeCell ref="A468:J468"/>
    <mergeCell ref="A461:C461"/>
    <mergeCell ref="F461:H461"/>
    <mergeCell ref="A462:C462"/>
    <mergeCell ref="F462:H462"/>
    <mergeCell ref="A463:C463"/>
    <mergeCell ref="F463:H463"/>
    <mergeCell ref="C455:D455"/>
    <mergeCell ref="C456:D456"/>
    <mergeCell ref="C457:D457"/>
    <mergeCell ref="A458:D458"/>
    <mergeCell ref="A459:J459"/>
    <mergeCell ref="A460:J460"/>
    <mergeCell ref="A451:D451"/>
    <mergeCell ref="A452:I452"/>
    <mergeCell ref="A453:J453"/>
    <mergeCell ref="A454:D454"/>
    <mergeCell ref="E454:E455"/>
    <mergeCell ref="F454:F455"/>
    <mergeCell ref="G454:G455"/>
    <mergeCell ref="H454:H455"/>
    <mergeCell ref="I454:I455"/>
    <mergeCell ref="J454:J455"/>
    <mergeCell ref="B445:D445"/>
    <mergeCell ref="B446:D446"/>
    <mergeCell ref="B447:D447"/>
    <mergeCell ref="B448:D448"/>
    <mergeCell ref="B449:D449"/>
    <mergeCell ref="A450:D450"/>
    <mergeCell ref="B439:D439"/>
    <mergeCell ref="B440:D440"/>
    <mergeCell ref="B441:D441"/>
    <mergeCell ref="B442:D442"/>
    <mergeCell ref="A443:D443"/>
    <mergeCell ref="A444:I444"/>
    <mergeCell ref="B433:D433"/>
    <mergeCell ref="A434:D434"/>
    <mergeCell ref="A435:J435"/>
    <mergeCell ref="A436:J436"/>
    <mergeCell ref="B437:D437"/>
    <mergeCell ref="A438:I438"/>
    <mergeCell ref="A428:J428"/>
    <mergeCell ref="A429:C429"/>
    <mergeCell ref="D429:J429"/>
    <mergeCell ref="A430:J430"/>
    <mergeCell ref="A431:J431"/>
    <mergeCell ref="B432:D432"/>
    <mergeCell ref="A422:E422"/>
    <mergeCell ref="A423:E423"/>
    <mergeCell ref="A424:E424"/>
    <mergeCell ref="A425:E425"/>
    <mergeCell ref="A426:E426"/>
    <mergeCell ref="A427:J427"/>
    <mergeCell ref="A416:J416"/>
    <mergeCell ref="A417:E417"/>
    <mergeCell ref="A418:E418"/>
    <mergeCell ref="A419:E419"/>
    <mergeCell ref="A420:E420"/>
    <mergeCell ref="A421:J421"/>
    <mergeCell ref="A410:J410"/>
    <mergeCell ref="A411:J411"/>
    <mergeCell ref="A412:J412"/>
    <mergeCell ref="A413:J413"/>
    <mergeCell ref="A414:J414"/>
    <mergeCell ref="A415:E415"/>
    <mergeCell ref="A404:J404"/>
    <mergeCell ref="A405:J405"/>
    <mergeCell ref="A406:J406"/>
    <mergeCell ref="A407:J407"/>
    <mergeCell ref="A408:J408"/>
    <mergeCell ref="A409:J409"/>
    <mergeCell ref="A399:C399"/>
    <mergeCell ref="F399:H399"/>
    <mergeCell ref="A400:I400"/>
    <mergeCell ref="A401:J401"/>
    <mergeCell ref="A402:J402"/>
    <mergeCell ref="A403:J403"/>
    <mergeCell ref="A395:J395"/>
    <mergeCell ref="A396:C396"/>
    <mergeCell ref="F396:H396"/>
    <mergeCell ref="A397:C397"/>
    <mergeCell ref="F397:H397"/>
    <mergeCell ref="A398:C398"/>
    <mergeCell ref="F398:H398"/>
    <mergeCell ref="I390:I391"/>
    <mergeCell ref="J390:J391"/>
    <mergeCell ref="C391:D391"/>
    <mergeCell ref="C392:D392"/>
    <mergeCell ref="A393:D393"/>
    <mergeCell ref="A394:J394"/>
    <mergeCell ref="B385:D385"/>
    <mergeCell ref="A386:D386"/>
    <mergeCell ref="A387:D387"/>
    <mergeCell ref="A388:I388"/>
    <mergeCell ref="A389:J389"/>
    <mergeCell ref="A390:D390"/>
    <mergeCell ref="E390:E391"/>
    <mergeCell ref="F390:F391"/>
    <mergeCell ref="G390:G391"/>
    <mergeCell ref="H390:H391"/>
    <mergeCell ref="B379:D379"/>
    <mergeCell ref="B380:D380"/>
    <mergeCell ref="B381:D381"/>
    <mergeCell ref="B382:D382"/>
    <mergeCell ref="B383:D383"/>
    <mergeCell ref="B384:D384"/>
    <mergeCell ref="B373:D373"/>
    <mergeCell ref="B374:D374"/>
    <mergeCell ref="A375:D375"/>
    <mergeCell ref="A376:I376"/>
    <mergeCell ref="B377:D377"/>
    <mergeCell ref="B378:D378"/>
    <mergeCell ref="A367:J367"/>
    <mergeCell ref="A368:J368"/>
    <mergeCell ref="B369:D369"/>
    <mergeCell ref="A370:I370"/>
    <mergeCell ref="B371:D371"/>
    <mergeCell ref="B372:D372"/>
    <mergeCell ref="A361:J361"/>
    <mergeCell ref="A362:J362"/>
    <mergeCell ref="A363:J363"/>
    <mergeCell ref="B364:D364"/>
    <mergeCell ref="B365:D365"/>
    <mergeCell ref="A366:D366"/>
    <mergeCell ref="A356:E356"/>
    <mergeCell ref="A357:E357"/>
    <mergeCell ref="A358:J358"/>
    <mergeCell ref="A359:J359"/>
    <mergeCell ref="A360:C360"/>
    <mergeCell ref="D360:J360"/>
    <mergeCell ref="A350:J350"/>
    <mergeCell ref="A351:E351"/>
    <mergeCell ref="A352:E352"/>
    <mergeCell ref="A353:E353"/>
    <mergeCell ref="A354:E354"/>
    <mergeCell ref="A355:J355"/>
    <mergeCell ref="A344:J344"/>
    <mergeCell ref="A345:J345"/>
    <mergeCell ref="A346:J346"/>
    <mergeCell ref="A347:J347"/>
    <mergeCell ref="A348:J348"/>
    <mergeCell ref="A349:E349"/>
    <mergeCell ref="A338:J338"/>
    <mergeCell ref="A339:J339"/>
    <mergeCell ref="A340:J340"/>
    <mergeCell ref="A341:J341"/>
    <mergeCell ref="A342:J342"/>
    <mergeCell ref="A343:J343"/>
    <mergeCell ref="A332:C332"/>
    <mergeCell ref="A333:C333"/>
    <mergeCell ref="A334:D334"/>
    <mergeCell ref="A335:J335"/>
    <mergeCell ref="A336:J336"/>
    <mergeCell ref="A337:J337"/>
    <mergeCell ref="C326:D326"/>
    <mergeCell ref="C327:D327"/>
    <mergeCell ref="A328:D328"/>
    <mergeCell ref="A329:J329"/>
    <mergeCell ref="A330:J330"/>
    <mergeCell ref="A331:C331"/>
    <mergeCell ref="A323:J323"/>
    <mergeCell ref="A324:D324"/>
    <mergeCell ref="E324:E325"/>
    <mergeCell ref="F324:F325"/>
    <mergeCell ref="G324:G325"/>
    <mergeCell ref="H324:H325"/>
    <mergeCell ref="I324:I325"/>
    <mergeCell ref="J324:J325"/>
    <mergeCell ref="C325:D325"/>
    <mergeCell ref="B317:D317"/>
    <mergeCell ref="B318:D318"/>
    <mergeCell ref="B319:D319"/>
    <mergeCell ref="A320:D320"/>
    <mergeCell ref="A321:D321"/>
    <mergeCell ref="A322:I322"/>
    <mergeCell ref="A311:I311"/>
    <mergeCell ref="B312:D312"/>
    <mergeCell ref="B313:D313"/>
    <mergeCell ref="B314:D314"/>
    <mergeCell ref="B315:D315"/>
    <mergeCell ref="B316:D316"/>
    <mergeCell ref="A305:I305"/>
    <mergeCell ref="B306:D306"/>
    <mergeCell ref="B307:D307"/>
    <mergeCell ref="B308:D308"/>
    <mergeCell ref="B309:D309"/>
    <mergeCell ref="A310:D310"/>
    <mergeCell ref="B299:D299"/>
    <mergeCell ref="B300:D300"/>
    <mergeCell ref="A301:D301"/>
    <mergeCell ref="A302:J302"/>
    <mergeCell ref="A303:J303"/>
    <mergeCell ref="B304:D304"/>
    <mergeCell ref="A294:C294"/>
    <mergeCell ref="D294:J294"/>
    <mergeCell ref="A295:J295"/>
    <mergeCell ref="A296:J296"/>
    <mergeCell ref="A297:J297"/>
    <mergeCell ref="B298:D298"/>
    <mergeCell ref="A288:E288"/>
    <mergeCell ref="A289:E289"/>
    <mergeCell ref="A290:E290"/>
    <mergeCell ref="A291:E291"/>
    <mergeCell ref="A292:J292"/>
    <mergeCell ref="A293:J293"/>
    <mergeCell ref="A282:E282"/>
    <mergeCell ref="A283:E283"/>
    <mergeCell ref="A284:E284"/>
    <mergeCell ref="A285:E285"/>
    <mergeCell ref="A286:E286"/>
    <mergeCell ref="A287:J287"/>
    <mergeCell ref="A276:J276"/>
    <mergeCell ref="A277:J277"/>
    <mergeCell ref="A278:J278"/>
    <mergeCell ref="A279:J279"/>
    <mergeCell ref="A280:E280"/>
    <mergeCell ref="A281:J281"/>
    <mergeCell ref="A270:J270"/>
    <mergeCell ref="A271:J271"/>
    <mergeCell ref="A272:J272"/>
    <mergeCell ref="A273:J273"/>
    <mergeCell ref="A274:J274"/>
    <mergeCell ref="A275:J275"/>
    <mergeCell ref="A265:C265"/>
    <mergeCell ref="F265:H265"/>
    <mergeCell ref="A266:I266"/>
    <mergeCell ref="A267:J267"/>
    <mergeCell ref="A268:J268"/>
    <mergeCell ref="A269:J269"/>
    <mergeCell ref="A261:J261"/>
    <mergeCell ref="A262:C262"/>
    <mergeCell ref="F262:H262"/>
    <mergeCell ref="A263:C263"/>
    <mergeCell ref="F263:H263"/>
    <mergeCell ref="A264:C264"/>
    <mergeCell ref="F264:H264"/>
    <mergeCell ref="J255:J256"/>
    <mergeCell ref="C256:D256"/>
    <mergeCell ref="C257:D257"/>
    <mergeCell ref="C258:D258"/>
    <mergeCell ref="A259:D259"/>
    <mergeCell ref="A260:J260"/>
    <mergeCell ref="A255:D255"/>
    <mergeCell ref="E255:E256"/>
    <mergeCell ref="F255:F256"/>
    <mergeCell ref="G255:G256"/>
    <mergeCell ref="H255:H256"/>
    <mergeCell ref="I255:I256"/>
    <mergeCell ref="B249:D249"/>
    <mergeCell ref="B250:D250"/>
    <mergeCell ref="A251:D251"/>
    <mergeCell ref="A252:D252"/>
    <mergeCell ref="A253:I253"/>
    <mergeCell ref="A254:J254"/>
    <mergeCell ref="B243:D243"/>
    <mergeCell ref="A244:D244"/>
    <mergeCell ref="A245:I245"/>
    <mergeCell ref="B246:D246"/>
    <mergeCell ref="B247:D247"/>
    <mergeCell ref="B248:D248"/>
    <mergeCell ref="A237:J237"/>
    <mergeCell ref="B238:D238"/>
    <mergeCell ref="A239:I239"/>
    <mergeCell ref="B240:D240"/>
    <mergeCell ref="B241:D241"/>
    <mergeCell ref="B242:D242"/>
    <mergeCell ref="A231:J231"/>
    <mergeCell ref="A232:J232"/>
    <mergeCell ref="B233:D233"/>
    <mergeCell ref="B234:D234"/>
    <mergeCell ref="A235:D235"/>
    <mergeCell ref="A236:J236"/>
    <mergeCell ref="A226:E226"/>
    <mergeCell ref="A227:E227"/>
    <mergeCell ref="A228:J228"/>
    <mergeCell ref="A229:J229"/>
    <mergeCell ref="A230:C230"/>
    <mergeCell ref="D230:J230"/>
    <mergeCell ref="A220:E220"/>
    <mergeCell ref="A221:E221"/>
    <mergeCell ref="A222:E222"/>
    <mergeCell ref="A223:J223"/>
    <mergeCell ref="A224:E224"/>
    <mergeCell ref="A225:E225"/>
    <mergeCell ref="A214:J214"/>
    <mergeCell ref="A215:E215"/>
    <mergeCell ref="A216:E216"/>
    <mergeCell ref="A217:E217"/>
    <mergeCell ref="A218:E218"/>
    <mergeCell ref="A219:E219"/>
    <mergeCell ref="A208:J208"/>
    <mergeCell ref="A209:J209"/>
    <mergeCell ref="A210:J210"/>
    <mergeCell ref="A211:J211"/>
    <mergeCell ref="A212:J212"/>
    <mergeCell ref="A213:E213"/>
    <mergeCell ref="A202:J202"/>
    <mergeCell ref="A203:J203"/>
    <mergeCell ref="A204:J204"/>
    <mergeCell ref="A205:J205"/>
    <mergeCell ref="A206:J206"/>
    <mergeCell ref="A207:J207"/>
    <mergeCell ref="A197:C197"/>
    <mergeCell ref="F197:H197"/>
    <mergeCell ref="A198:I198"/>
    <mergeCell ref="A199:J199"/>
    <mergeCell ref="A200:J200"/>
    <mergeCell ref="A201:J201"/>
    <mergeCell ref="A194:C194"/>
    <mergeCell ref="F194:H194"/>
    <mergeCell ref="A195:C195"/>
    <mergeCell ref="F195:H195"/>
    <mergeCell ref="A196:C196"/>
    <mergeCell ref="F196:H196"/>
    <mergeCell ref="C188:D188"/>
    <mergeCell ref="C189:D189"/>
    <mergeCell ref="A190:D190"/>
    <mergeCell ref="A191:J191"/>
    <mergeCell ref="A192:J192"/>
    <mergeCell ref="A193:C193"/>
    <mergeCell ref="F193:H193"/>
    <mergeCell ref="A184:D184"/>
    <mergeCell ref="A185:I185"/>
    <mergeCell ref="A186:J186"/>
    <mergeCell ref="A187:D187"/>
    <mergeCell ref="E187:E188"/>
    <mergeCell ref="F187:F188"/>
    <mergeCell ref="G187:G188"/>
    <mergeCell ref="H187:H188"/>
    <mergeCell ref="I187:I188"/>
    <mergeCell ref="J187:J188"/>
    <mergeCell ref="B178:D178"/>
    <mergeCell ref="B179:D179"/>
    <mergeCell ref="B180:D180"/>
    <mergeCell ref="B181:D181"/>
    <mergeCell ref="B182:D182"/>
    <mergeCell ref="A183:D183"/>
    <mergeCell ref="B172:D172"/>
    <mergeCell ref="B173:D173"/>
    <mergeCell ref="A174:D174"/>
    <mergeCell ref="A175:I175"/>
    <mergeCell ref="B176:D176"/>
    <mergeCell ref="B177:D177"/>
    <mergeCell ref="A166:J166"/>
    <mergeCell ref="B167:D167"/>
    <mergeCell ref="A168:I168"/>
    <mergeCell ref="B169:D169"/>
    <mergeCell ref="B170:D170"/>
    <mergeCell ref="B171:D171"/>
    <mergeCell ref="A160:J160"/>
    <mergeCell ref="A161:J161"/>
    <mergeCell ref="B162:D162"/>
    <mergeCell ref="B163:D163"/>
    <mergeCell ref="A164:D164"/>
    <mergeCell ref="A165:J165"/>
    <mergeCell ref="A155:E155"/>
    <mergeCell ref="A156:J156"/>
    <mergeCell ref="A157:J157"/>
    <mergeCell ref="A158:C158"/>
    <mergeCell ref="D158:J158"/>
    <mergeCell ref="A159:J159"/>
    <mergeCell ref="A149:E149"/>
    <mergeCell ref="A150:E150"/>
    <mergeCell ref="A151:E151"/>
    <mergeCell ref="A152:E152"/>
    <mergeCell ref="A153:E153"/>
    <mergeCell ref="A154:E154"/>
    <mergeCell ref="A143:E143"/>
    <mergeCell ref="A144:E144"/>
    <mergeCell ref="A145:E145"/>
    <mergeCell ref="A146:E146"/>
    <mergeCell ref="A147:E147"/>
    <mergeCell ref="A148:J148"/>
    <mergeCell ref="A137:E137"/>
    <mergeCell ref="A138:J138"/>
    <mergeCell ref="A139:E139"/>
    <mergeCell ref="A140:E140"/>
    <mergeCell ref="A141:E141"/>
    <mergeCell ref="A142:E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I119"/>
    <mergeCell ref="A120:J120"/>
    <mergeCell ref="A121:J121"/>
    <mergeCell ref="A122:J122"/>
    <mergeCell ref="A123:J123"/>
    <mergeCell ref="A124:J124"/>
    <mergeCell ref="A116:C116"/>
    <mergeCell ref="F116:H116"/>
    <mergeCell ref="A117:C117"/>
    <mergeCell ref="F117:H117"/>
    <mergeCell ref="A118:C118"/>
    <mergeCell ref="F118:H118"/>
    <mergeCell ref="A112:J112"/>
    <mergeCell ref="A113:J113"/>
    <mergeCell ref="A114:C114"/>
    <mergeCell ref="F114:H114"/>
    <mergeCell ref="A115:C115"/>
    <mergeCell ref="F115:H115"/>
    <mergeCell ref="J106:J107"/>
    <mergeCell ref="C107:D107"/>
    <mergeCell ref="C108:D108"/>
    <mergeCell ref="C109:D109"/>
    <mergeCell ref="C110:D110"/>
    <mergeCell ref="A111:D111"/>
    <mergeCell ref="A102:D102"/>
    <mergeCell ref="A103:D103"/>
    <mergeCell ref="A104:I104"/>
    <mergeCell ref="A105:J105"/>
    <mergeCell ref="A106:D106"/>
    <mergeCell ref="E106:E107"/>
    <mergeCell ref="F106:F107"/>
    <mergeCell ref="G106:G107"/>
    <mergeCell ref="H106:H107"/>
    <mergeCell ref="I106:I107"/>
    <mergeCell ref="B96:D96"/>
    <mergeCell ref="B97:D97"/>
    <mergeCell ref="B98:D98"/>
    <mergeCell ref="B99:D99"/>
    <mergeCell ref="B100:D100"/>
    <mergeCell ref="B101:D101"/>
    <mergeCell ref="A90:I90"/>
    <mergeCell ref="B91:D91"/>
    <mergeCell ref="B92:D92"/>
    <mergeCell ref="B93:D93"/>
    <mergeCell ref="B94:D94"/>
    <mergeCell ref="B95:D95"/>
    <mergeCell ref="A84:I84"/>
    <mergeCell ref="B85:D85"/>
    <mergeCell ref="B86:D86"/>
    <mergeCell ref="B87:D87"/>
    <mergeCell ref="B88:D88"/>
    <mergeCell ref="A89:D89"/>
    <mergeCell ref="B78:D78"/>
    <mergeCell ref="B79:D79"/>
    <mergeCell ref="A80:D80"/>
    <mergeCell ref="A81:J81"/>
    <mergeCell ref="A82:J82"/>
    <mergeCell ref="B83:D83"/>
    <mergeCell ref="A73:J73"/>
    <mergeCell ref="A74:J74"/>
    <mergeCell ref="A75:C75"/>
    <mergeCell ref="D75:J75"/>
    <mergeCell ref="A76:J76"/>
    <mergeCell ref="A77:J77"/>
    <mergeCell ref="A67:D67"/>
    <mergeCell ref="A68:J68"/>
    <mergeCell ref="A69:D69"/>
    <mergeCell ref="A70:J70"/>
    <mergeCell ref="A71:J71"/>
    <mergeCell ref="A72:D72"/>
    <mergeCell ref="A61:J61"/>
    <mergeCell ref="A62:J62"/>
    <mergeCell ref="C63:D63"/>
    <mergeCell ref="C64:D64"/>
    <mergeCell ref="C65:D65"/>
    <mergeCell ref="C66:D66"/>
    <mergeCell ref="B55:D55"/>
    <mergeCell ref="B56:D56"/>
    <mergeCell ref="B57:D57"/>
    <mergeCell ref="B58:D58"/>
    <mergeCell ref="B59:D59"/>
    <mergeCell ref="A60:D60"/>
    <mergeCell ref="B49:D49"/>
    <mergeCell ref="B50:D50"/>
    <mergeCell ref="A51:D51"/>
    <mergeCell ref="A52:D52"/>
    <mergeCell ref="A53:J53"/>
    <mergeCell ref="A54:J54"/>
    <mergeCell ref="A43:J43"/>
    <mergeCell ref="A44:J44"/>
    <mergeCell ref="B45:D45"/>
    <mergeCell ref="B46:D46"/>
    <mergeCell ref="B47:D47"/>
    <mergeCell ref="B48:D48"/>
    <mergeCell ref="B37:D37"/>
    <mergeCell ref="B38:D38"/>
    <mergeCell ref="B39:D39"/>
    <mergeCell ref="B40:D40"/>
    <mergeCell ref="B41:D41"/>
    <mergeCell ref="A42:D42"/>
    <mergeCell ref="A31:J31"/>
    <mergeCell ref="A32:J32"/>
    <mergeCell ref="A33:J33"/>
    <mergeCell ref="B34:D34"/>
    <mergeCell ref="A35:J35"/>
    <mergeCell ref="B36:D36"/>
    <mergeCell ref="A25:J25"/>
    <mergeCell ref="A26:J26"/>
    <mergeCell ref="A27:J27"/>
    <mergeCell ref="A28:J28"/>
    <mergeCell ref="A29:J29"/>
    <mergeCell ref="A30:J30"/>
    <mergeCell ref="A19:J19"/>
    <mergeCell ref="A20:J20"/>
    <mergeCell ref="A21:J21"/>
    <mergeCell ref="A22:J22"/>
    <mergeCell ref="A23:J23"/>
    <mergeCell ref="A24:J24"/>
    <mergeCell ref="A13:J13"/>
    <mergeCell ref="A14:J14"/>
    <mergeCell ref="A15:J15"/>
    <mergeCell ref="A16:J16"/>
    <mergeCell ref="A17:J17"/>
    <mergeCell ref="A18:J18"/>
    <mergeCell ref="A1:J1"/>
    <mergeCell ref="A2:J2"/>
    <mergeCell ref="A3:J3"/>
    <mergeCell ref="A10:J10"/>
    <mergeCell ref="A11:J11"/>
    <mergeCell ref="A12:J12"/>
  </mergeCells>
  <printOptions horizontalCentered="1"/>
  <pageMargins left="0.25" right="0.25" top="0.75" bottom="0.75" header="0.3" footer="0.3"/>
  <pageSetup fitToHeight="0" orientation="portrait" r:id="rId1"/>
  <rowBreaks count="17" manualBreakCount="17">
    <brk id="32" max="16383" man="1"/>
    <brk id="73" max="16383" man="1"/>
    <brk id="112" max="16383" man="1"/>
    <brk id="136" max="16383" man="1"/>
    <brk id="156" max="16383" man="1"/>
    <brk id="191" max="16383" man="1"/>
    <brk id="228" max="16383" man="1"/>
    <brk id="267" max="16383" man="1"/>
    <brk id="292" max="16383" man="1"/>
    <brk id="335" max="16383" man="1"/>
    <brk id="358" max="16383" man="1"/>
    <brk id="401" max="16383" man="1"/>
    <brk id="427" max="16383" man="1"/>
    <brk id="466" max="16383" man="1"/>
    <brk id="486" max="16383" man="1"/>
    <brk id="522" max="16383" man="1"/>
    <brk id="5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89"/>
  <sheetViews>
    <sheetView zoomScaleNormal="100" zoomScaleSheetLayoutView="100" workbookViewId="0">
      <selection activeCell="B1" sqref="B1"/>
    </sheetView>
  </sheetViews>
  <sheetFormatPr defaultColWidth="9.140625" defaultRowHeight="14.25" x14ac:dyDescent="0.2"/>
  <cols>
    <col min="1" max="1" width="5.7109375" style="100" customWidth="1"/>
    <col min="2" max="2" width="7.5703125" style="100" customWidth="1"/>
    <col min="3" max="3" width="14" style="100" customWidth="1"/>
    <col min="4" max="4" width="12.28515625" style="100" customWidth="1"/>
    <col min="5" max="5" width="9.85546875" style="100" customWidth="1"/>
    <col min="6" max="6" width="9.85546875" style="249" customWidth="1"/>
    <col min="7" max="10" width="9.85546875" style="100" customWidth="1"/>
    <col min="11" max="16384" width="9.140625" style="100"/>
  </cols>
  <sheetData>
    <row r="1" spans="1:10" ht="15" customHeight="1" x14ac:dyDescent="0.2">
      <c r="A1" s="98" t="s">
        <v>254</v>
      </c>
      <c r="B1" s="98"/>
      <c r="C1" s="99"/>
      <c r="D1" s="99"/>
      <c r="E1" s="99"/>
      <c r="F1" s="99"/>
      <c r="G1" s="99"/>
      <c r="H1" s="99"/>
      <c r="I1" s="99"/>
      <c r="J1" s="99"/>
    </row>
    <row r="2" spans="1:10" ht="15" customHeight="1" x14ac:dyDescent="0.2">
      <c r="A2" s="98" t="s">
        <v>771</v>
      </c>
      <c r="B2" s="98"/>
      <c r="C2" s="129"/>
      <c r="D2" s="129"/>
      <c r="E2" s="129"/>
      <c r="F2" s="129"/>
      <c r="G2" s="129"/>
      <c r="H2" s="129"/>
      <c r="I2" s="129"/>
      <c r="J2" s="129"/>
    </row>
    <row r="3" spans="1:10" ht="15" thickBot="1" x14ac:dyDescent="0.25">
      <c r="A3" s="250"/>
      <c r="B3" s="251"/>
      <c r="C3" s="251"/>
      <c r="D3" s="251"/>
      <c r="E3" s="251"/>
      <c r="F3" s="251"/>
      <c r="G3" s="251"/>
      <c r="H3" s="251"/>
      <c r="I3" s="251"/>
      <c r="J3" s="252"/>
    </row>
    <row r="4" spans="1:10" x14ac:dyDescent="0.2">
      <c r="A4" s="253" t="s">
        <v>256</v>
      </c>
      <c r="B4" s="254" t="s">
        <v>257</v>
      </c>
      <c r="C4" s="254"/>
      <c r="D4" s="254"/>
      <c r="E4" s="254"/>
      <c r="F4" s="254"/>
      <c r="G4" s="255"/>
      <c r="H4" s="255"/>
      <c r="I4" s="255"/>
      <c r="J4" s="256"/>
    </row>
    <row r="5" spans="1:10" x14ac:dyDescent="0.2">
      <c r="A5" s="109"/>
      <c r="B5" s="106" t="s">
        <v>772</v>
      </c>
      <c r="C5" s="110"/>
      <c r="D5" s="110"/>
      <c r="E5" s="106"/>
      <c r="F5" s="106"/>
      <c r="G5" s="111"/>
      <c r="H5" s="111"/>
      <c r="I5" s="111"/>
      <c r="J5" s="112">
        <f>H50</f>
        <v>649200</v>
      </c>
    </row>
    <row r="6" spans="1:10" x14ac:dyDescent="0.2">
      <c r="A6" s="115" t="s">
        <v>260</v>
      </c>
      <c r="B6" s="116" t="s">
        <v>261</v>
      </c>
      <c r="C6" s="116"/>
      <c r="D6" s="116" t="s">
        <v>773</v>
      </c>
      <c r="E6" s="116"/>
      <c r="F6" s="116"/>
      <c r="G6" s="117"/>
      <c r="H6" s="117"/>
      <c r="I6" s="117"/>
      <c r="J6" s="118"/>
    </row>
    <row r="7" spans="1:10" ht="15" thickBot="1" x14ac:dyDescent="0.25">
      <c r="A7" s="119" t="s">
        <v>263</v>
      </c>
      <c r="B7" s="120" t="s">
        <v>774</v>
      </c>
      <c r="C7" s="120"/>
      <c r="D7" s="121"/>
      <c r="E7" s="121"/>
      <c r="F7" s="121"/>
      <c r="G7" s="123"/>
      <c r="H7" s="123"/>
      <c r="I7" s="123"/>
      <c r="J7" s="124"/>
    </row>
    <row r="8" spans="1:10" x14ac:dyDescent="0.2">
      <c r="A8" s="365"/>
      <c r="B8" s="365"/>
      <c r="C8" s="365"/>
      <c r="D8" s="365"/>
      <c r="E8" s="365"/>
      <c r="F8" s="365"/>
      <c r="G8" s="365"/>
      <c r="H8" s="365"/>
      <c r="I8" s="365"/>
      <c r="J8" s="365"/>
    </row>
    <row r="9" spans="1:10" ht="15" customHeight="1" x14ac:dyDescent="0.2">
      <c r="A9" s="128" t="s">
        <v>265</v>
      </c>
      <c r="B9" s="128"/>
      <c r="C9" s="128"/>
      <c r="D9" s="128"/>
      <c r="E9" s="128"/>
      <c r="F9" s="128"/>
      <c r="G9" s="128"/>
      <c r="H9" s="128"/>
      <c r="I9" s="128"/>
      <c r="J9" s="128"/>
    </row>
    <row r="10" spans="1:10" x14ac:dyDescent="0.2">
      <c r="A10" s="366" t="s">
        <v>453</v>
      </c>
      <c r="B10" s="366"/>
      <c r="C10" s="366"/>
      <c r="D10" s="366"/>
      <c r="E10" s="366"/>
      <c r="F10" s="366"/>
      <c r="G10" s="366"/>
      <c r="H10" s="366"/>
      <c r="I10" s="366"/>
      <c r="J10" s="366"/>
    </row>
    <row r="11" spans="1:10" x14ac:dyDescent="0.2">
      <c r="A11" s="366" t="s">
        <v>775</v>
      </c>
      <c r="B11" s="366"/>
      <c r="C11" s="366"/>
      <c r="D11" s="366"/>
      <c r="E11" s="366"/>
      <c r="F11" s="366"/>
      <c r="G11" s="366"/>
      <c r="H11" s="366"/>
      <c r="I11" s="366"/>
      <c r="J11" s="366"/>
    </row>
    <row r="12" spans="1:10" ht="15" customHeight="1" x14ac:dyDescent="0.2">
      <c r="A12" s="128" t="s">
        <v>267</v>
      </c>
      <c r="B12" s="128"/>
      <c r="C12" s="128"/>
      <c r="D12" s="128"/>
      <c r="E12" s="128"/>
      <c r="F12" s="128"/>
      <c r="G12" s="128"/>
      <c r="H12" s="128"/>
      <c r="I12" s="128"/>
      <c r="J12" s="128"/>
    </row>
    <row r="13" spans="1:10" x14ac:dyDescent="0.2">
      <c r="A13" s="366" t="s">
        <v>776</v>
      </c>
      <c r="B13" s="366"/>
      <c r="C13" s="366"/>
      <c r="D13" s="366"/>
      <c r="E13" s="366"/>
      <c r="F13" s="366"/>
      <c r="G13" s="366"/>
      <c r="H13" s="366"/>
      <c r="I13" s="366"/>
      <c r="J13" s="366"/>
    </row>
    <row r="14" spans="1:10" x14ac:dyDescent="0.2">
      <c r="A14" s="366" t="s">
        <v>777</v>
      </c>
      <c r="B14" s="366"/>
      <c r="C14" s="366"/>
      <c r="D14" s="366"/>
      <c r="E14" s="366"/>
      <c r="F14" s="366"/>
      <c r="G14" s="366"/>
      <c r="H14" s="366"/>
      <c r="I14" s="366"/>
      <c r="J14" s="366"/>
    </row>
    <row r="15" spans="1:10" x14ac:dyDescent="0.2">
      <c r="A15" s="129"/>
      <c r="B15" s="129"/>
      <c r="C15" s="129"/>
      <c r="D15" s="129"/>
      <c r="E15" s="129"/>
      <c r="F15" s="129"/>
      <c r="G15" s="129"/>
      <c r="H15" s="129"/>
      <c r="I15" s="129"/>
      <c r="J15" s="129"/>
    </row>
    <row r="16" spans="1:10" ht="15" customHeight="1" x14ac:dyDescent="0.2">
      <c r="A16" s="128" t="s">
        <v>269</v>
      </c>
      <c r="B16" s="128"/>
      <c r="C16" s="128"/>
      <c r="D16" s="128"/>
      <c r="E16" s="128"/>
      <c r="F16" s="128"/>
      <c r="G16" s="128"/>
      <c r="H16" s="128"/>
      <c r="I16" s="128"/>
      <c r="J16" s="128"/>
    </row>
    <row r="17" spans="1:10" x14ac:dyDescent="0.2">
      <c r="A17" s="366" t="s">
        <v>778</v>
      </c>
      <c r="B17" s="366"/>
      <c r="C17" s="366"/>
      <c r="D17" s="366"/>
      <c r="E17" s="366"/>
      <c r="F17" s="366"/>
      <c r="G17" s="366"/>
      <c r="H17" s="366"/>
      <c r="I17" s="366"/>
      <c r="J17" s="366"/>
    </row>
    <row r="18" spans="1:10" x14ac:dyDescent="0.2">
      <c r="A18" s="366"/>
      <c r="B18" s="366"/>
      <c r="C18" s="366"/>
      <c r="D18" s="366"/>
      <c r="E18" s="366"/>
      <c r="F18" s="366"/>
      <c r="G18" s="366"/>
      <c r="H18" s="366"/>
      <c r="I18" s="366"/>
      <c r="J18" s="366"/>
    </row>
    <row r="19" spans="1:10" ht="15" customHeight="1" x14ac:dyDescent="0.2">
      <c r="A19" s="128" t="s">
        <v>272</v>
      </c>
      <c r="B19" s="128"/>
      <c r="C19" s="128"/>
      <c r="D19" s="128"/>
      <c r="E19" s="128"/>
      <c r="F19" s="128"/>
      <c r="G19" s="128"/>
      <c r="H19" s="128"/>
      <c r="I19" s="128"/>
      <c r="J19" s="128"/>
    </row>
    <row r="20" spans="1:10" s="367" customFormat="1" ht="27.75" customHeight="1" x14ac:dyDescent="0.2">
      <c r="A20" s="317" t="s">
        <v>779</v>
      </c>
      <c r="B20" s="317"/>
      <c r="C20" s="317"/>
      <c r="D20" s="317"/>
      <c r="E20" s="317"/>
      <c r="F20" s="317"/>
      <c r="G20" s="317"/>
      <c r="H20" s="317"/>
      <c r="I20" s="317"/>
      <c r="J20" s="317"/>
    </row>
    <row r="21" spans="1:10" ht="8.4499999999999993" customHeight="1" x14ac:dyDescent="0.2">
      <c r="A21" s="129"/>
      <c r="B21" s="129"/>
      <c r="C21" s="129"/>
      <c r="D21" s="129"/>
      <c r="E21" s="129"/>
      <c r="F21" s="129"/>
      <c r="G21" s="129"/>
      <c r="H21" s="129"/>
      <c r="I21" s="129"/>
      <c r="J21" s="129"/>
    </row>
    <row r="22" spans="1:10" ht="15" customHeight="1" x14ac:dyDescent="0.2">
      <c r="A22" s="128" t="s">
        <v>275</v>
      </c>
      <c r="B22" s="128"/>
      <c r="C22" s="128"/>
      <c r="D22" s="128"/>
      <c r="E22" s="128"/>
      <c r="F22" s="128"/>
      <c r="G22" s="128"/>
      <c r="H22" s="128"/>
      <c r="I22" s="128"/>
      <c r="J22" s="128"/>
    </row>
    <row r="23" spans="1:10" ht="33.75" x14ac:dyDescent="0.2">
      <c r="A23" s="130" t="s">
        <v>243</v>
      </c>
      <c r="B23" s="131" t="s">
        <v>242</v>
      </c>
      <c r="C23" s="131"/>
      <c r="D23" s="131"/>
      <c r="E23" s="132" t="str">
        <f>Summary!$G$25</f>
        <v>Actuals           2014-2015</v>
      </c>
      <c r="F23" s="132" t="str">
        <f>Summary!$H$25</f>
        <v>Approved Estimates          2015-2016</v>
      </c>
      <c r="G23" s="132" t="str">
        <f>Summary!$I$25</f>
        <v>Revised Estimates                 2015-2016</v>
      </c>
      <c r="H23" s="132" t="str">
        <f>Summary!$J$25</f>
        <v>Budget Estimates      2016-2017</v>
      </c>
      <c r="I23" s="132" t="str">
        <f>Summary!$K$25</f>
        <v>Forward Estimates     2017-2018</v>
      </c>
      <c r="J23" s="132" t="str">
        <f>Summary!$L$25</f>
        <v>Forward Estimates     2018-2019</v>
      </c>
    </row>
    <row r="24" spans="1:10" x14ac:dyDescent="0.2">
      <c r="A24" s="128" t="s">
        <v>276</v>
      </c>
      <c r="B24" s="128"/>
      <c r="C24" s="128"/>
      <c r="D24" s="128"/>
      <c r="E24" s="128"/>
      <c r="F24" s="128"/>
      <c r="G24" s="128"/>
      <c r="H24" s="128"/>
      <c r="I24" s="128"/>
      <c r="J24" s="128"/>
    </row>
    <row r="25" spans="1:10" ht="15" customHeight="1" x14ac:dyDescent="0.2">
      <c r="A25" s="368" t="s">
        <v>780</v>
      </c>
      <c r="B25" s="129" t="s">
        <v>781</v>
      </c>
      <c r="C25" s="129"/>
      <c r="D25" s="129"/>
      <c r="E25" s="211">
        <f t="shared" ref="E25:J25" si="0">E61</f>
        <v>0</v>
      </c>
      <c r="F25" s="209">
        <f t="shared" si="0"/>
        <v>0</v>
      </c>
      <c r="G25" s="211">
        <f t="shared" si="0"/>
        <v>0</v>
      </c>
      <c r="H25" s="210">
        <f t="shared" si="0"/>
        <v>0</v>
      </c>
      <c r="I25" s="211">
        <f t="shared" si="0"/>
        <v>0</v>
      </c>
      <c r="J25" s="211">
        <f t="shared" si="0"/>
        <v>0</v>
      </c>
    </row>
    <row r="26" spans="1:10" ht="15" customHeight="1" x14ac:dyDescent="0.2">
      <c r="A26" s="137" t="s">
        <v>782</v>
      </c>
      <c r="B26" s="137"/>
      <c r="C26" s="137"/>
      <c r="D26" s="137"/>
      <c r="E26" s="138">
        <f t="shared" ref="E26:J26" si="1">SUM(E25:E25)</f>
        <v>0</v>
      </c>
      <c r="F26" s="138">
        <f t="shared" si="1"/>
        <v>0</v>
      </c>
      <c r="G26" s="138">
        <f t="shared" si="1"/>
        <v>0</v>
      </c>
      <c r="H26" s="138">
        <f t="shared" si="1"/>
        <v>0</v>
      </c>
      <c r="I26" s="138">
        <f t="shared" si="1"/>
        <v>0</v>
      </c>
      <c r="J26" s="138">
        <f t="shared" si="1"/>
        <v>0</v>
      </c>
    </row>
    <row r="27" spans="1:10" ht="15" customHeight="1" x14ac:dyDescent="0.2">
      <c r="A27" s="129"/>
      <c r="B27" s="129"/>
      <c r="C27" s="129"/>
      <c r="D27" s="129"/>
      <c r="E27" s="129"/>
      <c r="F27" s="129"/>
      <c r="G27" s="129"/>
      <c r="H27" s="129"/>
      <c r="I27" s="129"/>
      <c r="J27" s="129"/>
    </row>
    <row r="28" spans="1:10" ht="15" customHeight="1" x14ac:dyDescent="0.2">
      <c r="A28" s="128" t="s">
        <v>281</v>
      </c>
      <c r="B28" s="128"/>
      <c r="C28" s="128"/>
      <c r="D28" s="128"/>
      <c r="E28" s="128"/>
      <c r="F28" s="128"/>
      <c r="G28" s="128"/>
      <c r="H28" s="128"/>
      <c r="I28" s="128"/>
      <c r="J28" s="128"/>
    </row>
    <row r="29" spans="1:10" ht="15" customHeight="1" x14ac:dyDescent="0.2">
      <c r="A29" s="368" t="s">
        <v>780</v>
      </c>
      <c r="B29" s="129" t="s">
        <v>781</v>
      </c>
      <c r="C29" s="129"/>
      <c r="D29" s="129"/>
      <c r="E29" s="211">
        <f t="shared" ref="E29:J29" si="2">E81+E87</f>
        <v>529178.82000000007</v>
      </c>
      <c r="F29" s="209">
        <f t="shared" si="2"/>
        <v>629700</v>
      </c>
      <c r="G29" s="211">
        <f t="shared" si="2"/>
        <v>524300</v>
      </c>
      <c r="H29" s="210">
        <f t="shared" si="2"/>
        <v>649200</v>
      </c>
      <c r="I29" s="211">
        <f t="shared" si="2"/>
        <v>677100</v>
      </c>
      <c r="J29" s="211">
        <f t="shared" si="2"/>
        <v>681200</v>
      </c>
    </row>
    <row r="30" spans="1:10" ht="15" customHeight="1" x14ac:dyDescent="0.2">
      <c r="A30" s="139" t="s">
        <v>783</v>
      </c>
      <c r="B30" s="139"/>
      <c r="C30" s="139"/>
      <c r="D30" s="139"/>
      <c r="E30" s="140">
        <f t="shared" ref="E30:J30" si="3">SUM(E29:E29)</f>
        <v>529178.82000000007</v>
      </c>
      <c r="F30" s="140">
        <f t="shared" si="3"/>
        <v>629700</v>
      </c>
      <c r="G30" s="140">
        <f t="shared" si="3"/>
        <v>524300</v>
      </c>
      <c r="H30" s="140">
        <f t="shared" si="3"/>
        <v>649200</v>
      </c>
      <c r="I30" s="140">
        <f t="shared" si="3"/>
        <v>677100</v>
      </c>
      <c r="J30" s="140">
        <f t="shared" si="3"/>
        <v>681200</v>
      </c>
    </row>
    <row r="31" spans="1:10" ht="15" customHeight="1" x14ac:dyDescent="0.2">
      <c r="A31" s="151"/>
      <c r="B31" s="151"/>
      <c r="C31" s="151"/>
      <c r="D31" s="151"/>
      <c r="E31" s="261"/>
      <c r="F31" s="286"/>
      <c r="G31" s="261"/>
      <c r="H31" s="303"/>
      <c r="I31" s="261"/>
      <c r="J31" s="261"/>
    </row>
    <row r="32" spans="1:10" ht="15" customHeight="1" x14ac:dyDescent="0.2">
      <c r="A32" s="141" t="s">
        <v>283</v>
      </c>
      <c r="B32" s="141"/>
      <c r="C32" s="141"/>
      <c r="D32" s="141"/>
      <c r="E32" s="141"/>
      <c r="F32" s="141"/>
      <c r="G32" s="141"/>
      <c r="H32" s="141"/>
      <c r="I32" s="141"/>
      <c r="J32" s="141"/>
    </row>
    <row r="33" spans="1:10" ht="15" customHeight="1" x14ac:dyDescent="0.2">
      <c r="A33" s="131" t="s">
        <v>284</v>
      </c>
      <c r="B33" s="131"/>
      <c r="C33" s="131"/>
      <c r="D33" s="131"/>
      <c r="E33" s="131"/>
      <c r="F33" s="131"/>
      <c r="G33" s="131"/>
      <c r="H33" s="131"/>
      <c r="I33" s="131"/>
      <c r="J33" s="131"/>
    </row>
    <row r="34" spans="1:10" ht="15" customHeight="1" x14ac:dyDescent="0.2">
      <c r="A34" s="261"/>
      <c r="B34" s="129" t="s">
        <v>7</v>
      </c>
      <c r="C34" s="101"/>
      <c r="D34" s="101"/>
      <c r="E34" s="211">
        <f t="shared" ref="E34:J34" si="4">E122</f>
        <v>247609.89</v>
      </c>
      <c r="F34" s="209">
        <f t="shared" si="4"/>
        <v>316100</v>
      </c>
      <c r="G34" s="211">
        <f t="shared" si="4"/>
        <v>254600</v>
      </c>
      <c r="H34" s="210">
        <f t="shared" si="4"/>
        <v>319500</v>
      </c>
      <c r="I34" s="211">
        <f t="shared" si="4"/>
        <v>347400</v>
      </c>
      <c r="J34" s="211">
        <f t="shared" si="4"/>
        <v>351500</v>
      </c>
    </row>
    <row r="35" spans="1:10" ht="15" customHeight="1" x14ac:dyDescent="0.2">
      <c r="A35" s="261"/>
      <c r="B35" s="129" t="s">
        <v>196</v>
      </c>
      <c r="C35" s="101"/>
      <c r="D35" s="101"/>
      <c r="E35" s="211">
        <f t="shared" ref="E35:J35" si="5">E126</f>
        <v>0</v>
      </c>
      <c r="F35" s="209">
        <f t="shared" si="5"/>
        <v>0</v>
      </c>
      <c r="G35" s="211">
        <f t="shared" si="5"/>
        <v>0</v>
      </c>
      <c r="H35" s="210">
        <f t="shared" si="5"/>
        <v>0</v>
      </c>
      <c r="I35" s="211">
        <f t="shared" si="5"/>
        <v>0</v>
      </c>
      <c r="J35" s="211">
        <f t="shared" si="5"/>
        <v>0</v>
      </c>
    </row>
    <row r="36" spans="1:10" ht="15" customHeight="1" x14ac:dyDescent="0.2">
      <c r="A36" s="261"/>
      <c r="B36" s="129" t="s">
        <v>285</v>
      </c>
      <c r="C36" s="101"/>
      <c r="D36" s="101"/>
      <c r="E36" s="211">
        <f t="shared" ref="E36:J36" si="6">E130</f>
        <v>190526.7</v>
      </c>
      <c r="F36" s="209">
        <f t="shared" si="6"/>
        <v>217500</v>
      </c>
      <c r="G36" s="211">
        <f t="shared" si="6"/>
        <v>189200</v>
      </c>
      <c r="H36" s="210">
        <f t="shared" si="6"/>
        <v>237600</v>
      </c>
      <c r="I36" s="211">
        <f t="shared" si="6"/>
        <v>237600</v>
      </c>
      <c r="J36" s="211">
        <f t="shared" si="6"/>
        <v>237600</v>
      </c>
    </row>
    <row r="37" spans="1:10" x14ac:dyDescent="0.2">
      <c r="A37" s="261"/>
      <c r="B37" s="129" t="s">
        <v>198</v>
      </c>
      <c r="C37" s="101"/>
      <c r="D37" s="101"/>
      <c r="E37" s="211">
        <f t="shared" ref="E37:J37" si="7">E134</f>
        <v>0</v>
      </c>
      <c r="F37" s="209">
        <f t="shared" si="7"/>
        <v>0</v>
      </c>
      <c r="G37" s="211">
        <f t="shared" si="7"/>
        <v>0</v>
      </c>
      <c r="H37" s="210">
        <f t="shared" si="7"/>
        <v>0</v>
      </c>
      <c r="I37" s="211">
        <f t="shared" si="7"/>
        <v>0</v>
      </c>
      <c r="J37" s="211">
        <f t="shared" si="7"/>
        <v>0</v>
      </c>
    </row>
    <row r="38" spans="1:10" ht="15" customHeight="1" x14ac:dyDescent="0.2">
      <c r="A38" s="261"/>
      <c r="B38" s="129" t="s">
        <v>286</v>
      </c>
      <c r="C38" s="101"/>
      <c r="D38" s="101"/>
      <c r="E38" s="211">
        <f t="shared" ref="E38:J38" si="8">E138</f>
        <v>91042.23000000001</v>
      </c>
      <c r="F38" s="209">
        <f t="shared" si="8"/>
        <v>96100</v>
      </c>
      <c r="G38" s="211">
        <f t="shared" si="8"/>
        <v>80500</v>
      </c>
      <c r="H38" s="210">
        <f t="shared" si="8"/>
        <v>92100</v>
      </c>
      <c r="I38" s="211">
        <f t="shared" si="8"/>
        <v>92100</v>
      </c>
      <c r="J38" s="211">
        <f t="shared" si="8"/>
        <v>92100</v>
      </c>
    </row>
    <row r="39" spans="1:10" ht="15" customHeight="1" x14ac:dyDescent="0.2">
      <c r="A39" s="139" t="s">
        <v>287</v>
      </c>
      <c r="B39" s="139"/>
      <c r="C39" s="139"/>
      <c r="D39" s="139"/>
      <c r="E39" s="140">
        <f t="shared" ref="E39:J39" si="9">SUM(E34:E38)</f>
        <v>529178.82000000007</v>
      </c>
      <c r="F39" s="140">
        <f t="shared" si="9"/>
        <v>629700</v>
      </c>
      <c r="G39" s="140">
        <f t="shared" si="9"/>
        <v>524300</v>
      </c>
      <c r="H39" s="140">
        <f t="shared" si="9"/>
        <v>649200</v>
      </c>
      <c r="I39" s="140">
        <f t="shared" si="9"/>
        <v>677100</v>
      </c>
      <c r="J39" s="140">
        <f t="shared" si="9"/>
        <v>681200</v>
      </c>
    </row>
    <row r="40" spans="1:10" hidden="1" x14ac:dyDescent="0.2">
      <c r="A40" s="131" t="s">
        <v>15</v>
      </c>
      <c r="B40" s="131"/>
      <c r="C40" s="131"/>
      <c r="D40" s="131"/>
      <c r="E40" s="131"/>
      <c r="F40" s="131"/>
      <c r="G40" s="131"/>
      <c r="H40" s="131"/>
      <c r="I40" s="131"/>
      <c r="J40" s="131"/>
    </row>
    <row r="41" spans="1:10" ht="15" hidden="1" customHeight="1" x14ac:dyDescent="0.2">
      <c r="A41" s="130" t="s">
        <v>243</v>
      </c>
      <c r="B41" s="130" t="s">
        <v>244</v>
      </c>
      <c r="C41" s="131" t="s">
        <v>245</v>
      </c>
      <c r="D41" s="142"/>
      <c r="E41" s="143"/>
      <c r="F41" s="286"/>
      <c r="G41" s="143"/>
      <c r="H41" s="143"/>
      <c r="I41" s="143"/>
      <c r="J41" s="143"/>
    </row>
    <row r="42" spans="1:10" ht="15" hidden="1" customHeight="1" x14ac:dyDescent="0.2">
      <c r="A42" s="261">
        <v>13</v>
      </c>
      <c r="B42" s="261" t="s">
        <v>633</v>
      </c>
      <c r="C42" s="129" t="s">
        <v>784</v>
      </c>
      <c r="D42" s="101"/>
      <c r="E42" s="211"/>
      <c r="F42" s="209"/>
      <c r="G42" s="211"/>
      <c r="H42" s="210"/>
      <c r="I42" s="211"/>
      <c r="J42" s="211"/>
    </row>
    <row r="43" spans="1:10" ht="15" hidden="1" customHeight="1" x14ac:dyDescent="0.2">
      <c r="A43" s="261">
        <v>13</v>
      </c>
      <c r="B43" s="261" t="s">
        <v>785</v>
      </c>
      <c r="C43" s="129" t="s">
        <v>786</v>
      </c>
      <c r="D43" s="101"/>
      <c r="E43" s="211"/>
      <c r="F43" s="209"/>
      <c r="G43" s="211"/>
      <c r="H43" s="210"/>
      <c r="I43" s="211"/>
      <c r="J43" s="211"/>
    </row>
    <row r="44" spans="1:10" ht="15" hidden="1" customHeight="1" x14ac:dyDescent="0.2">
      <c r="A44" s="261">
        <v>13</v>
      </c>
      <c r="B44" s="261" t="s">
        <v>785</v>
      </c>
      <c r="C44" s="129" t="s">
        <v>787</v>
      </c>
      <c r="D44" s="101"/>
      <c r="E44" s="211"/>
      <c r="F44" s="209"/>
      <c r="G44" s="211"/>
      <c r="H44" s="210"/>
      <c r="I44" s="211"/>
      <c r="J44" s="211"/>
    </row>
    <row r="45" spans="1:10" hidden="1" x14ac:dyDescent="0.2">
      <c r="A45" s="261">
        <v>13</v>
      </c>
      <c r="B45" s="261" t="s">
        <v>785</v>
      </c>
      <c r="C45" s="129" t="s">
        <v>788</v>
      </c>
      <c r="D45" s="101"/>
      <c r="E45" s="211"/>
      <c r="F45" s="209"/>
      <c r="G45" s="211"/>
      <c r="H45" s="210"/>
      <c r="I45" s="211"/>
      <c r="J45" s="211"/>
    </row>
    <row r="46" spans="1:10" ht="15" hidden="1" customHeight="1" x14ac:dyDescent="0.2">
      <c r="A46" s="261">
        <v>13</v>
      </c>
      <c r="B46" s="261" t="s">
        <v>785</v>
      </c>
      <c r="C46" s="129" t="s">
        <v>789</v>
      </c>
      <c r="D46" s="101"/>
      <c r="E46" s="211"/>
      <c r="F46" s="209"/>
      <c r="G46" s="211"/>
      <c r="H46" s="210"/>
      <c r="I46" s="211"/>
      <c r="J46" s="211"/>
    </row>
    <row r="47" spans="1:10" hidden="1" x14ac:dyDescent="0.2">
      <c r="A47" s="261">
        <v>13</v>
      </c>
      <c r="B47" s="261" t="s">
        <v>785</v>
      </c>
      <c r="C47" s="129" t="s">
        <v>790</v>
      </c>
      <c r="D47" s="101"/>
      <c r="E47" s="211"/>
      <c r="F47" s="209"/>
      <c r="G47" s="211"/>
      <c r="H47" s="210"/>
      <c r="I47" s="211"/>
      <c r="J47" s="211"/>
    </row>
    <row r="48" spans="1:10" hidden="1" x14ac:dyDescent="0.2">
      <c r="A48" s="139" t="s">
        <v>69</v>
      </c>
      <c r="B48" s="139"/>
      <c r="C48" s="139"/>
      <c r="D48" s="139"/>
      <c r="E48" s="140">
        <f t="shared" ref="E48:J48" si="10">SUM(E42:E47)</f>
        <v>0</v>
      </c>
      <c r="F48" s="140">
        <f t="shared" si="10"/>
        <v>0</v>
      </c>
      <c r="G48" s="140">
        <f t="shared" si="10"/>
        <v>0</v>
      </c>
      <c r="H48" s="140">
        <f t="shared" si="10"/>
        <v>0</v>
      </c>
      <c r="I48" s="140">
        <f t="shared" si="10"/>
        <v>0</v>
      </c>
      <c r="J48" s="140">
        <f t="shared" si="10"/>
        <v>0</v>
      </c>
    </row>
    <row r="49" spans="1:10" x14ac:dyDescent="0.2">
      <c r="A49" s="129"/>
      <c r="B49" s="129"/>
      <c r="C49" s="129"/>
      <c r="D49" s="129"/>
      <c r="E49" s="129"/>
      <c r="F49" s="129"/>
      <c r="G49" s="129"/>
      <c r="H49" s="129"/>
      <c r="I49" s="129"/>
      <c r="J49" s="129"/>
    </row>
    <row r="50" spans="1:10" x14ac:dyDescent="0.2">
      <c r="A50" s="137" t="s">
        <v>783</v>
      </c>
      <c r="B50" s="137"/>
      <c r="C50" s="137"/>
      <c r="D50" s="137"/>
      <c r="E50" s="147">
        <f t="shared" ref="E50:J50" si="11">SUM(E39,E48)</f>
        <v>529178.82000000007</v>
      </c>
      <c r="F50" s="147">
        <f t="shared" si="11"/>
        <v>629700</v>
      </c>
      <c r="G50" s="147">
        <f t="shared" si="11"/>
        <v>524300</v>
      </c>
      <c r="H50" s="147">
        <f t="shared" si="11"/>
        <v>649200</v>
      </c>
      <c r="I50" s="147">
        <f t="shared" si="11"/>
        <v>677100</v>
      </c>
      <c r="J50" s="147">
        <f t="shared" si="11"/>
        <v>681200</v>
      </c>
    </row>
    <row r="51" spans="1:10" ht="10.5" customHeight="1" x14ac:dyDescent="0.2">
      <c r="A51" s="129"/>
      <c r="B51" s="129"/>
      <c r="C51" s="129"/>
      <c r="D51" s="129"/>
      <c r="E51" s="129"/>
      <c r="F51" s="129"/>
      <c r="G51" s="129"/>
      <c r="H51" s="129"/>
      <c r="I51" s="129"/>
      <c r="J51" s="129"/>
    </row>
    <row r="52" spans="1:10" ht="15" customHeight="1" x14ac:dyDescent="0.2">
      <c r="A52" s="128" t="s">
        <v>288</v>
      </c>
      <c r="B52" s="128"/>
      <c r="C52" s="128"/>
      <c r="D52" s="128"/>
      <c r="E52" s="128"/>
      <c r="F52" s="128"/>
      <c r="G52" s="128"/>
      <c r="H52" s="128"/>
      <c r="I52" s="128"/>
      <c r="J52" s="128"/>
    </row>
    <row r="53" spans="1:10" ht="15" customHeight="1" x14ac:dyDescent="0.2">
      <c r="A53" s="137" t="s">
        <v>289</v>
      </c>
      <c r="B53" s="137"/>
      <c r="C53" s="137"/>
      <c r="D53" s="137"/>
      <c r="E53" s="149"/>
      <c r="F53" s="149"/>
      <c r="G53" s="149"/>
      <c r="H53" s="148"/>
      <c r="I53" s="149"/>
      <c r="J53" s="149"/>
    </row>
    <row r="54" spans="1:10" ht="15" customHeight="1" x14ac:dyDescent="0.2">
      <c r="A54" s="129"/>
      <c r="B54" s="129"/>
      <c r="C54" s="129"/>
      <c r="D54" s="129"/>
      <c r="E54" s="129"/>
      <c r="F54" s="129"/>
      <c r="G54" s="129"/>
      <c r="H54" s="129"/>
      <c r="I54" s="129"/>
      <c r="J54" s="129"/>
    </row>
    <row r="55" spans="1:10" ht="15" customHeight="1" x14ac:dyDescent="0.2">
      <c r="A55" s="150" t="s">
        <v>791</v>
      </c>
      <c r="B55" s="150"/>
      <c r="C55" s="150"/>
      <c r="D55" s="150"/>
      <c r="E55" s="150"/>
      <c r="F55" s="150"/>
      <c r="G55" s="150"/>
      <c r="H55" s="150"/>
      <c r="I55" s="150"/>
      <c r="J55" s="150"/>
    </row>
    <row r="56" spans="1:10" ht="15" customHeight="1" x14ac:dyDescent="0.2">
      <c r="A56" s="151" t="s">
        <v>291</v>
      </c>
      <c r="B56" s="151"/>
      <c r="C56" s="151"/>
      <c r="D56" s="101"/>
      <c r="E56" s="101"/>
      <c r="F56" s="101"/>
      <c r="G56" s="101"/>
      <c r="H56" s="101"/>
      <c r="I56" s="101"/>
      <c r="J56" s="101"/>
    </row>
    <row r="57" spans="1:10" x14ac:dyDescent="0.2">
      <c r="A57" s="129" t="s">
        <v>792</v>
      </c>
      <c r="B57" s="129"/>
      <c r="C57" s="129"/>
      <c r="D57" s="129"/>
      <c r="E57" s="129"/>
      <c r="F57" s="129"/>
      <c r="G57" s="129"/>
      <c r="H57" s="129"/>
      <c r="I57" s="129"/>
      <c r="J57" s="129"/>
    </row>
    <row r="58" spans="1:10" x14ac:dyDescent="0.2">
      <c r="A58" s="128" t="s">
        <v>293</v>
      </c>
      <c r="B58" s="128"/>
      <c r="C58" s="128"/>
      <c r="D58" s="128"/>
      <c r="E58" s="128"/>
      <c r="F58" s="128"/>
      <c r="G58" s="128"/>
      <c r="H58" s="128"/>
      <c r="I58" s="128"/>
      <c r="J58" s="128"/>
    </row>
    <row r="59" spans="1:10" ht="33.75" x14ac:dyDescent="0.2">
      <c r="A59" s="152" t="s">
        <v>243</v>
      </c>
      <c r="B59" s="151" t="s">
        <v>242</v>
      </c>
      <c r="C59" s="151"/>
      <c r="D59" s="151"/>
      <c r="E59" s="132" t="str">
        <f t="shared" ref="E59:J59" si="12">E23</f>
        <v>Actuals           2014-2015</v>
      </c>
      <c r="F59" s="132" t="str">
        <f t="shared" si="12"/>
        <v>Approved Estimates          2015-2016</v>
      </c>
      <c r="G59" s="132" t="str">
        <f t="shared" si="12"/>
        <v>Revised Estimates                 2015-2016</v>
      </c>
      <c r="H59" s="132" t="str">
        <f t="shared" si="12"/>
        <v>Budget Estimates      2016-2017</v>
      </c>
      <c r="I59" s="132" t="str">
        <f t="shared" si="12"/>
        <v>Forward Estimates     2017-2018</v>
      </c>
      <c r="J59" s="132" t="str">
        <f t="shared" si="12"/>
        <v>Forward Estimates     2018-2019</v>
      </c>
    </row>
    <row r="60" spans="1:10" x14ac:dyDescent="0.2">
      <c r="A60" s="152"/>
      <c r="B60" s="129"/>
      <c r="C60" s="101"/>
      <c r="D60" s="101"/>
      <c r="E60" s="211"/>
      <c r="F60" s="209"/>
      <c r="G60" s="211"/>
      <c r="H60" s="210"/>
      <c r="I60" s="211"/>
      <c r="J60" s="211"/>
    </row>
    <row r="61" spans="1:10" x14ac:dyDescent="0.2">
      <c r="A61" s="137" t="s">
        <v>782</v>
      </c>
      <c r="B61" s="137"/>
      <c r="C61" s="137"/>
      <c r="D61" s="137"/>
      <c r="E61" s="138">
        <f t="shared" ref="E61:J61" si="13">SUM(E60:E60)</f>
        <v>0</v>
      </c>
      <c r="F61" s="138">
        <f t="shared" si="13"/>
        <v>0</v>
      </c>
      <c r="G61" s="138">
        <f t="shared" si="13"/>
        <v>0</v>
      </c>
      <c r="H61" s="138">
        <f t="shared" si="13"/>
        <v>0</v>
      </c>
      <c r="I61" s="138">
        <f t="shared" si="13"/>
        <v>0</v>
      </c>
      <c r="J61" s="138">
        <f t="shared" si="13"/>
        <v>0</v>
      </c>
    </row>
    <row r="62" spans="1:10" x14ac:dyDescent="0.2">
      <c r="A62" s="129"/>
      <c r="B62" s="129"/>
      <c r="C62" s="129"/>
      <c r="D62" s="129"/>
      <c r="E62" s="129"/>
      <c r="F62" s="129"/>
      <c r="G62" s="129"/>
      <c r="H62" s="129"/>
      <c r="I62" s="129"/>
      <c r="J62" s="129"/>
    </row>
    <row r="63" spans="1:10" x14ac:dyDescent="0.2">
      <c r="A63" s="128" t="s">
        <v>284</v>
      </c>
      <c r="B63" s="128"/>
      <c r="C63" s="128"/>
      <c r="D63" s="128"/>
      <c r="E63" s="128"/>
      <c r="F63" s="128"/>
      <c r="G63" s="128"/>
      <c r="H63" s="128"/>
      <c r="I63" s="128"/>
      <c r="J63" s="128"/>
    </row>
    <row r="64" spans="1:10" ht="33.75" x14ac:dyDescent="0.2">
      <c r="A64" s="152" t="s">
        <v>243</v>
      </c>
      <c r="B64" s="151" t="s">
        <v>242</v>
      </c>
      <c r="C64" s="151"/>
      <c r="D64" s="151"/>
      <c r="E64" s="132" t="str">
        <f t="shared" ref="E64:J64" si="14">E23</f>
        <v>Actuals           2014-2015</v>
      </c>
      <c r="F64" s="132" t="str">
        <f t="shared" si="14"/>
        <v>Approved Estimates          2015-2016</v>
      </c>
      <c r="G64" s="132" t="str">
        <f t="shared" si="14"/>
        <v>Revised Estimates                 2015-2016</v>
      </c>
      <c r="H64" s="132" t="str">
        <f t="shared" si="14"/>
        <v>Budget Estimates      2016-2017</v>
      </c>
      <c r="I64" s="132" t="str">
        <f t="shared" si="14"/>
        <v>Forward Estimates     2017-2018</v>
      </c>
      <c r="J64" s="132" t="str">
        <f t="shared" si="14"/>
        <v>Forward Estimates     2018-2019</v>
      </c>
    </row>
    <row r="65" spans="1:10" x14ac:dyDescent="0.2">
      <c r="A65" s="151" t="s">
        <v>7</v>
      </c>
      <c r="B65" s="151"/>
      <c r="C65" s="151"/>
      <c r="D65" s="151"/>
      <c r="E65" s="151"/>
      <c r="F65" s="151"/>
      <c r="G65" s="151"/>
      <c r="H65" s="151"/>
      <c r="I65" s="151"/>
      <c r="J65" s="190"/>
    </row>
    <row r="66" spans="1:10" x14ac:dyDescent="0.2">
      <c r="A66" s="133">
        <v>210</v>
      </c>
      <c r="B66" s="134" t="s">
        <v>7</v>
      </c>
      <c r="C66" s="134"/>
      <c r="D66" s="134"/>
      <c r="E66" s="135">
        <v>247609.89</v>
      </c>
      <c r="F66" s="262">
        <v>316100</v>
      </c>
      <c r="G66" s="262">
        <v>254600</v>
      </c>
      <c r="H66" s="136">
        <v>319500</v>
      </c>
      <c r="I66" s="158">
        <v>347400</v>
      </c>
      <c r="J66" s="158">
        <v>351500</v>
      </c>
    </row>
    <row r="67" spans="1:10" x14ac:dyDescent="0.2">
      <c r="A67" s="133">
        <v>212</v>
      </c>
      <c r="B67" s="134" t="s">
        <v>9</v>
      </c>
      <c r="C67" s="134"/>
      <c r="D67" s="134"/>
      <c r="E67" s="135">
        <v>0</v>
      </c>
      <c r="F67" s="262">
        <v>0</v>
      </c>
      <c r="G67" s="262">
        <v>0</v>
      </c>
      <c r="H67" s="136">
        <v>0</v>
      </c>
      <c r="I67" s="158">
        <v>0</v>
      </c>
      <c r="J67" s="158">
        <v>0</v>
      </c>
    </row>
    <row r="68" spans="1:10" x14ac:dyDescent="0.2">
      <c r="A68" s="133">
        <v>216</v>
      </c>
      <c r="B68" s="134" t="s">
        <v>10</v>
      </c>
      <c r="C68" s="134"/>
      <c r="D68" s="134"/>
      <c r="E68" s="135">
        <v>190526.7</v>
      </c>
      <c r="F68" s="262">
        <v>217500</v>
      </c>
      <c r="G68" s="262">
        <v>189200</v>
      </c>
      <c r="H68" s="136">
        <v>237600</v>
      </c>
      <c r="I68" s="158">
        <v>237600</v>
      </c>
      <c r="J68" s="158">
        <v>237600</v>
      </c>
    </row>
    <row r="69" spans="1:10" x14ac:dyDescent="0.2">
      <c r="A69" s="133">
        <v>218</v>
      </c>
      <c r="B69" s="134" t="s">
        <v>294</v>
      </c>
      <c r="C69" s="134"/>
      <c r="D69" s="134"/>
      <c r="E69" s="135">
        <v>0</v>
      </c>
      <c r="F69" s="262">
        <v>0</v>
      </c>
      <c r="G69" s="262">
        <v>0</v>
      </c>
      <c r="H69" s="136">
        <v>0</v>
      </c>
      <c r="I69" s="158">
        <v>0</v>
      </c>
      <c r="J69" s="158">
        <v>0</v>
      </c>
    </row>
    <row r="70" spans="1:10" x14ac:dyDescent="0.2">
      <c r="A70" s="156" t="s">
        <v>295</v>
      </c>
      <c r="B70" s="156"/>
      <c r="C70" s="156"/>
      <c r="D70" s="156"/>
      <c r="E70" s="157">
        <f t="shared" ref="E70:J70" si="15">SUM(E66:E69)</f>
        <v>438136.59</v>
      </c>
      <c r="F70" s="157">
        <f t="shared" si="15"/>
        <v>533600</v>
      </c>
      <c r="G70" s="157">
        <f t="shared" si="15"/>
        <v>443800</v>
      </c>
      <c r="H70" s="157">
        <f t="shared" si="15"/>
        <v>557100</v>
      </c>
      <c r="I70" s="157">
        <f t="shared" si="15"/>
        <v>585000</v>
      </c>
      <c r="J70" s="157">
        <f t="shared" si="15"/>
        <v>589100</v>
      </c>
    </row>
    <row r="71" spans="1:10" ht="15" customHeight="1" x14ac:dyDescent="0.2">
      <c r="A71" s="156" t="s">
        <v>296</v>
      </c>
      <c r="B71" s="156"/>
      <c r="C71" s="156"/>
      <c r="D71" s="156"/>
      <c r="E71" s="156"/>
      <c r="F71" s="156"/>
      <c r="G71" s="156"/>
      <c r="H71" s="156"/>
      <c r="I71" s="156"/>
      <c r="J71" s="190"/>
    </row>
    <row r="72" spans="1:10" x14ac:dyDescent="0.2">
      <c r="A72" s="133">
        <v>222</v>
      </c>
      <c r="B72" s="134" t="s">
        <v>205</v>
      </c>
      <c r="C72" s="134"/>
      <c r="D72" s="134"/>
      <c r="E72" s="135">
        <v>23323.43</v>
      </c>
      <c r="F72" s="158">
        <v>20000</v>
      </c>
      <c r="G72" s="158">
        <v>24000</v>
      </c>
      <c r="H72" s="136">
        <v>20000</v>
      </c>
      <c r="I72" s="158">
        <v>20000</v>
      </c>
      <c r="J72" s="158">
        <v>20000</v>
      </c>
    </row>
    <row r="73" spans="1:10" x14ac:dyDescent="0.2">
      <c r="A73" s="133">
        <v>224</v>
      </c>
      <c r="B73" s="134" t="s">
        <v>206</v>
      </c>
      <c r="C73" s="134"/>
      <c r="D73" s="134"/>
      <c r="E73" s="135">
        <v>19937.82</v>
      </c>
      <c r="F73" s="158">
        <v>28000</v>
      </c>
      <c r="G73" s="158">
        <v>20500</v>
      </c>
      <c r="H73" s="136">
        <f>28000-3000</f>
        <v>25000</v>
      </c>
      <c r="I73" s="158">
        <f t="shared" ref="I73:J73" si="16">28000-3000</f>
        <v>25000</v>
      </c>
      <c r="J73" s="158">
        <f t="shared" si="16"/>
        <v>25000</v>
      </c>
    </row>
    <row r="74" spans="1:10" x14ac:dyDescent="0.2">
      <c r="A74" s="133">
        <v>226</v>
      </c>
      <c r="B74" s="134" t="s">
        <v>207</v>
      </c>
      <c r="C74" s="134"/>
      <c r="D74" s="134"/>
      <c r="E74" s="135">
        <v>9279.7099999999991</v>
      </c>
      <c r="F74" s="158">
        <v>11000</v>
      </c>
      <c r="G74" s="158">
        <v>10100</v>
      </c>
      <c r="H74" s="136">
        <f>11000-1000</f>
        <v>10000</v>
      </c>
      <c r="I74" s="158">
        <f t="shared" ref="I74:J74" si="17">11000-1000</f>
        <v>10000</v>
      </c>
      <c r="J74" s="158">
        <f t="shared" si="17"/>
        <v>10000</v>
      </c>
    </row>
    <row r="75" spans="1:10" x14ac:dyDescent="0.2">
      <c r="A75" s="133">
        <v>228</v>
      </c>
      <c r="B75" s="134" t="s">
        <v>208</v>
      </c>
      <c r="C75" s="134"/>
      <c r="D75" s="134"/>
      <c r="E75" s="135">
        <v>9294.4500000000007</v>
      </c>
      <c r="F75" s="158">
        <v>10000</v>
      </c>
      <c r="G75" s="158">
        <v>10000</v>
      </c>
      <c r="H75" s="136">
        <v>10000</v>
      </c>
      <c r="I75" s="158">
        <v>10000</v>
      </c>
      <c r="J75" s="158">
        <v>10000</v>
      </c>
    </row>
    <row r="76" spans="1:10" x14ac:dyDescent="0.2">
      <c r="A76" s="133">
        <v>232</v>
      </c>
      <c r="B76" s="134" t="s">
        <v>211</v>
      </c>
      <c r="C76" s="134"/>
      <c r="D76" s="134"/>
      <c r="E76" s="135">
        <v>2412</v>
      </c>
      <c r="F76" s="158">
        <v>5000</v>
      </c>
      <c r="G76" s="158">
        <v>2500</v>
      </c>
      <c r="H76" s="136">
        <v>5000</v>
      </c>
      <c r="I76" s="158">
        <v>5000</v>
      </c>
      <c r="J76" s="158">
        <v>5000</v>
      </c>
    </row>
    <row r="77" spans="1:10" x14ac:dyDescent="0.2">
      <c r="A77" s="133">
        <v>236</v>
      </c>
      <c r="B77" s="134" t="s">
        <v>213</v>
      </c>
      <c r="C77" s="134"/>
      <c r="D77" s="134"/>
      <c r="E77" s="135">
        <v>0</v>
      </c>
      <c r="F77" s="158">
        <v>7400</v>
      </c>
      <c r="G77" s="158">
        <v>0</v>
      </c>
      <c r="H77" s="136">
        <v>7400</v>
      </c>
      <c r="I77" s="158">
        <v>7400</v>
      </c>
      <c r="J77" s="158">
        <v>7400</v>
      </c>
    </row>
    <row r="78" spans="1:10" x14ac:dyDescent="0.2">
      <c r="A78" s="133">
        <v>246</v>
      </c>
      <c r="B78" s="134" t="s">
        <v>218</v>
      </c>
      <c r="C78" s="134"/>
      <c r="D78" s="134"/>
      <c r="E78" s="135">
        <v>900</v>
      </c>
      <c r="F78" s="158">
        <v>2500</v>
      </c>
      <c r="G78" s="158">
        <v>1700</v>
      </c>
      <c r="H78" s="136">
        <v>2500</v>
      </c>
      <c r="I78" s="158">
        <v>2500</v>
      </c>
      <c r="J78" s="158">
        <v>2500</v>
      </c>
    </row>
    <row r="79" spans="1:10" x14ac:dyDescent="0.2">
      <c r="A79" s="133">
        <v>275</v>
      </c>
      <c r="B79" s="134" t="s">
        <v>228</v>
      </c>
      <c r="C79" s="134"/>
      <c r="D79" s="134"/>
      <c r="E79" s="135">
        <v>25894.82</v>
      </c>
      <c r="F79" s="158">
        <v>12200</v>
      </c>
      <c r="G79" s="158">
        <v>11700</v>
      </c>
      <c r="H79" s="136">
        <v>12200</v>
      </c>
      <c r="I79" s="158">
        <v>12200</v>
      </c>
      <c r="J79" s="158">
        <v>12200</v>
      </c>
    </row>
    <row r="80" spans="1:10" ht="15" customHeight="1" x14ac:dyDescent="0.2">
      <c r="A80" s="156" t="s">
        <v>298</v>
      </c>
      <c r="B80" s="156"/>
      <c r="C80" s="156"/>
      <c r="D80" s="156"/>
      <c r="E80" s="157">
        <f t="shared" ref="E80:J80" si="18">SUM(E72:E79)</f>
        <v>91042.23000000001</v>
      </c>
      <c r="F80" s="264">
        <f t="shared" si="18"/>
        <v>96100</v>
      </c>
      <c r="G80" s="157">
        <f t="shared" si="18"/>
        <v>80500</v>
      </c>
      <c r="H80" s="157">
        <f t="shared" si="18"/>
        <v>92100</v>
      </c>
      <c r="I80" s="157">
        <f t="shared" si="18"/>
        <v>92100</v>
      </c>
      <c r="J80" s="157">
        <f t="shared" si="18"/>
        <v>92100</v>
      </c>
    </row>
    <row r="81" spans="1:10" ht="15" customHeight="1" x14ac:dyDescent="0.2">
      <c r="A81" s="159" t="s">
        <v>299</v>
      </c>
      <c r="B81" s="159"/>
      <c r="C81" s="159"/>
      <c r="D81" s="159"/>
      <c r="E81" s="160">
        <f t="shared" ref="E81:J81" si="19">SUM(E70,E80)</f>
        <v>529178.82000000007</v>
      </c>
      <c r="F81" s="160">
        <f t="shared" si="19"/>
        <v>629700</v>
      </c>
      <c r="G81" s="160">
        <f t="shared" si="19"/>
        <v>524300</v>
      </c>
      <c r="H81" s="160">
        <f t="shared" si="19"/>
        <v>649200</v>
      </c>
      <c r="I81" s="160">
        <f t="shared" si="19"/>
        <v>677100</v>
      </c>
      <c r="J81" s="160">
        <f t="shared" si="19"/>
        <v>681200</v>
      </c>
    </row>
    <row r="82" spans="1:10" hidden="1" x14ac:dyDescent="0.2">
      <c r="A82" s="162" t="s">
        <v>15</v>
      </c>
      <c r="B82" s="162"/>
      <c r="C82" s="162"/>
      <c r="D82" s="162"/>
      <c r="E82" s="162"/>
      <c r="F82" s="162"/>
      <c r="G82" s="162"/>
      <c r="H82" s="162"/>
      <c r="I82" s="162"/>
      <c r="J82" s="162"/>
    </row>
    <row r="83" spans="1:10" ht="21" hidden="1" customHeight="1" x14ac:dyDescent="0.2">
      <c r="A83" s="131" t="s">
        <v>242</v>
      </c>
      <c r="B83" s="131"/>
      <c r="C83" s="131"/>
      <c r="D83" s="131"/>
      <c r="E83" s="128" t="s">
        <v>793</v>
      </c>
      <c r="F83" s="132" t="s">
        <v>794</v>
      </c>
      <c r="G83" s="128" t="s">
        <v>795</v>
      </c>
      <c r="H83" s="128" t="s">
        <v>796</v>
      </c>
      <c r="I83" s="128" t="s">
        <v>797</v>
      </c>
      <c r="J83" s="128" t="s">
        <v>798</v>
      </c>
    </row>
    <row r="84" spans="1:10" hidden="1" x14ac:dyDescent="0.2">
      <c r="A84" s="130" t="s">
        <v>243</v>
      </c>
      <c r="B84" s="130" t="s">
        <v>244</v>
      </c>
      <c r="C84" s="131" t="s">
        <v>245</v>
      </c>
      <c r="D84" s="131"/>
      <c r="E84" s="101"/>
      <c r="F84" s="132"/>
      <c r="G84" s="101"/>
      <c r="H84" s="101"/>
      <c r="I84" s="101"/>
      <c r="J84" s="101"/>
    </row>
    <row r="85" spans="1:10" ht="15" hidden="1" customHeight="1" x14ac:dyDescent="0.2">
      <c r="A85" s="163"/>
      <c r="B85" s="163"/>
      <c r="C85" s="156"/>
      <c r="D85" s="156"/>
      <c r="E85" s="158"/>
      <c r="F85" s="209"/>
      <c r="G85" s="158"/>
      <c r="H85" s="136"/>
      <c r="I85" s="158"/>
      <c r="J85" s="135"/>
    </row>
    <row r="86" spans="1:10" ht="15" hidden="1" customHeight="1" x14ac:dyDescent="0.2">
      <c r="A86" s="163"/>
      <c r="B86" s="163"/>
      <c r="C86" s="156"/>
      <c r="D86" s="156"/>
      <c r="E86" s="158"/>
      <c r="F86" s="209"/>
      <c r="G86" s="158"/>
      <c r="H86" s="136"/>
      <c r="I86" s="158"/>
      <c r="J86" s="135"/>
    </row>
    <row r="87" spans="1:10" hidden="1" x14ac:dyDescent="0.2">
      <c r="A87" s="137" t="s">
        <v>15</v>
      </c>
      <c r="B87" s="137"/>
      <c r="C87" s="137"/>
      <c r="D87" s="137"/>
      <c r="E87" s="164">
        <v>0</v>
      </c>
      <c r="F87" s="164">
        <v>0</v>
      </c>
      <c r="G87" s="164">
        <v>0</v>
      </c>
      <c r="H87" s="164">
        <v>0</v>
      </c>
      <c r="I87" s="164">
        <v>0</v>
      </c>
      <c r="J87" s="164">
        <v>0</v>
      </c>
    </row>
    <row r="88" spans="1:10" x14ac:dyDescent="0.2">
      <c r="A88" s="290"/>
      <c r="B88" s="290"/>
      <c r="C88" s="290"/>
      <c r="D88" s="290"/>
      <c r="E88" s="290"/>
      <c r="F88" s="290"/>
      <c r="G88" s="290"/>
      <c r="H88" s="290"/>
      <c r="I88" s="290"/>
      <c r="J88" s="290"/>
    </row>
    <row r="89" spans="1:10" ht="15" customHeight="1" x14ac:dyDescent="0.2">
      <c r="A89" s="161" t="s">
        <v>288</v>
      </c>
      <c r="B89" s="161"/>
      <c r="C89" s="161"/>
      <c r="D89" s="161"/>
      <c r="E89" s="161"/>
      <c r="F89" s="202"/>
      <c r="G89" s="202"/>
      <c r="H89" s="202"/>
      <c r="I89" s="202"/>
      <c r="J89" s="202"/>
    </row>
    <row r="90" spans="1:10" x14ac:dyDescent="0.2">
      <c r="A90" s="131" t="s">
        <v>300</v>
      </c>
      <c r="B90" s="131"/>
      <c r="C90" s="131"/>
      <c r="D90" s="132" t="s">
        <v>301</v>
      </c>
      <c r="E90" s="132" t="s">
        <v>302</v>
      </c>
      <c r="F90" s="131" t="s">
        <v>300</v>
      </c>
      <c r="G90" s="131"/>
      <c r="H90" s="131"/>
      <c r="I90" s="132" t="s">
        <v>301</v>
      </c>
      <c r="J90" s="132" t="s">
        <v>302</v>
      </c>
    </row>
    <row r="91" spans="1:10" ht="15" customHeight="1" x14ac:dyDescent="0.2">
      <c r="A91" s="134" t="str">
        <f>Establishment!D149</f>
        <v>Director, Public Prosecution</v>
      </c>
      <c r="B91" s="134"/>
      <c r="C91" s="134"/>
      <c r="D91" s="357" t="str">
        <f>Establishment!E149</f>
        <v>R4</v>
      </c>
      <c r="E91" s="133">
        <f>Establishment!C149</f>
        <v>1</v>
      </c>
      <c r="F91" s="134" t="str">
        <f>Establishment!D152</f>
        <v>Clerical Officer (Snr.)</v>
      </c>
      <c r="G91" s="134"/>
      <c r="H91" s="134"/>
      <c r="I91" s="357" t="str">
        <f>Establishment!E152</f>
        <v>R33-29</v>
      </c>
      <c r="J91" s="133">
        <f>Establishment!C152</f>
        <v>1</v>
      </c>
    </row>
    <row r="92" spans="1:10" ht="15" customHeight="1" x14ac:dyDescent="0.2">
      <c r="A92" s="134" t="str">
        <f>Establishment!D150</f>
        <v>Snr Crown Counsel (Criminal)</v>
      </c>
      <c r="B92" s="134"/>
      <c r="C92" s="134"/>
      <c r="D92" s="357" t="str">
        <f>Establishment!E150</f>
        <v>R12-8</v>
      </c>
      <c r="E92" s="133">
        <f>Establishment!C150</f>
        <v>1</v>
      </c>
      <c r="F92" s="134" t="str">
        <f>Establishment!D153</f>
        <v>Clerical Officer</v>
      </c>
      <c r="G92" s="134"/>
      <c r="H92" s="134"/>
      <c r="I92" s="357" t="str">
        <f>Establishment!E153</f>
        <v>R46-34</v>
      </c>
      <c r="J92" s="133">
        <f>Establishment!C153</f>
        <v>1</v>
      </c>
    </row>
    <row r="93" spans="1:10" ht="15" customHeight="1" x14ac:dyDescent="0.2">
      <c r="A93" s="134" t="str">
        <f>Establishment!D151</f>
        <v>Crown Counsel (Criminal)</v>
      </c>
      <c r="B93" s="134"/>
      <c r="C93" s="134"/>
      <c r="D93" s="357" t="str">
        <f>Establishment!E151</f>
        <v>R17-13</v>
      </c>
      <c r="E93" s="133">
        <f>Establishment!C151</f>
        <v>2</v>
      </c>
      <c r="F93" s="134"/>
      <c r="G93" s="134"/>
      <c r="H93" s="134"/>
      <c r="I93" s="209"/>
      <c r="J93" s="209"/>
    </row>
    <row r="94" spans="1:10" ht="14.25" customHeight="1" x14ac:dyDescent="0.2">
      <c r="A94" s="203" t="s">
        <v>303</v>
      </c>
      <c r="B94" s="203"/>
      <c r="C94" s="203"/>
      <c r="D94" s="203"/>
      <c r="E94" s="203"/>
      <c r="F94" s="203"/>
      <c r="G94" s="203"/>
      <c r="H94" s="203"/>
      <c r="I94" s="203"/>
      <c r="J94" s="204">
        <f>SUM(E91:E93,J91:J93)</f>
        <v>6</v>
      </c>
    </row>
    <row r="95" spans="1:10" x14ac:dyDescent="0.2">
      <c r="A95" s="129"/>
      <c r="B95" s="129"/>
      <c r="C95" s="129"/>
      <c r="D95" s="129"/>
      <c r="E95" s="129"/>
      <c r="F95" s="179"/>
      <c r="G95" s="179"/>
      <c r="H95" s="179"/>
      <c r="I95" s="179"/>
      <c r="J95" s="179"/>
    </row>
    <row r="96" spans="1:10" ht="15" customHeight="1" x14ac:dyDescent="0.2">
      <c r="A96" s="180" t="s">
        <v>304</v>
      </c>
      <c r="B96" s="180"/>
      <c r="C96" s="180"/>
      <c r="D96" s="180"/>
      <c r="E96" s="180"/>
      <c r="F96" s="180"/>
      <c r="G96" s="180"/>
      <c r="H96" s="180"/>
      <c r="I96" s="180"/>
      <c r="J96" s="180"/>
    </row>
    <row r="97" spans="1:10" x14ac:dyDescent="0.2">
      <c r="A97" s="181" t="s">
        <v>305</v>
      </c>
      <c r="B97" s="181"/>
      <c r="C97" s="181"/>
      <c r="D97" s="181"/>
      <c r="E97" s="181"/>
      <c r="F97" s="181"/>
      <c r="G97" s="181"/>
      <c r="H97" s="181"/>
      <c r="I97" s="181"/>
      <c r="J97" s="181"/>
    </row>
    <row r="98" spans="1:10" x14ac:dyDescent="0.2">
      <c r="A98" s="366" t="s">
        <v>799</v>
      </c>
      <c r="B98" s="366"/>
      <c r="C98" s="366"/>
      <c r="D98" s="366"/>
      <c r="E98" s="366"/>
      <c r="F98" s="366"/>
      <c r="G98" s="366"/>
      <c r="H98" s="366"/>
      <c r="I98" s="366"/>
      <c r="J98" s="366"/>
    </row>
    <row r="99" spans="1:10" x14ac:dyDescent="0.2">
      <c r="A99" s="366" t="s">
        <v>800</v>
      </c>
      <c r="B99" s="366"/>
      <c r="C99" s="366"/>
      <c r="D99" s="366"/>
      <c r="E99" s="366"/>
      <c r="F99" s="366"/>
      <c r="G99" s="366"/>
      <c r="H99" s="366"/>
      <c r="I99" s="366"/>
      <c r="J99" s="366"/>
    </row>
    <row r="100" spans="1:10" ht="15" customHeight="1" x14ac:dyDescent="0.2">
      <c r="A100" s="129"/>
      <c r="B100" s="129"/>
      <c r="C100" s="129"/>
      <c r="D100" s="129"/>
      <c r="E100" s="129"/>
      <c r="F100" s="129"/>
      <c r="G100" s="129"/>
      <c r="H100" s="129"/>
      <c r="I100" s="129"/>
      <c r="J100" s="129"/>
    </row>
    <row r="101" spans="1:10" x14ac:dyDescent="0.2">
      <c r="A101" s="183" t="s">
        <v>415</v>
      </c>
      <c r="B101" s="183"/>
      <c r="C101" s="183"/>
      <c r="D101" s="183"/>
      <c r="E101" s="183"/>
      <c r="F101" s="183"/>
      <c r="G101" s="183"/>
      <c r="H101" s="183"/>
      <c r="I101" s="183"/>
      <c r="J101" s="183"/>
    </row>
    <row r="102" spans="1:10" x14ac:dyDescent="0.2">
      <c r="A102" s="129"/>
      <c r="B102" s="129"/>
      <c r="C102" s="129"/>
      <c r="D102" s="129"/>
      <c r="E102" s="129"/>
      <c r="F102" s="129"/>
      <c r="G102" s="129"/>
      <c r="H102" s="129"/>
      <c r="I102" s="129"/>
      <c r="J102" s="129"/>
    </row>
    <row r="103" spans="1:10" x14ac:dyDescent="0.2">
      <c r="A103" s="129"/>
      <c r="B103" s="129"/>
      <c r="C103" s="129"/>
      <c r="D103" s="129"/>
      <c r="E103" s="129"/>
      <c r="F103" s="129"/>
      <c r="G103" s="129"/>
      <c r="H103" s="129"/>
      <c r="I103" s="129"/>
      <c r="J103" s="129"/>
    </row>
    <row r="104" spans="1:10" x14ac:dyDescent="0.2">
      <c r="A104" s="129"/>
      <c r="B104" s="129"/>
      <c r="C104" s="129"/>
      <c r="D104" s="129"/>
      <c r="E104" s="129"/>
      <c r="F104" s="129"/>
      <c r="G104" s="129"/>
      <c r="H104" s="129"/>
      <c r="I104" s="129"/>
      <c r="J104" s="129"/>
    </row>
    <row r="105" spans="1:10" ht="22.5" x14ac:dyDescent="0.2">
      <c r="A105" s="180" t="s">
        <v>315</v>
      </c>
      <c r="B105" s="180"/>
      <c r="C105" s="180"/>
      <c r="D105" s="180"/>
      <c r="E105" s="180"/>
      <c r="F105" s="184" t="s">
        <v>2995</v>
      </c>
      <c r="G105" s="184" t="s">
        <v>2996</v>
      </c>
      <c r="H105" s="184" t="s">
        <v>2997</v>
      </c>
      <c r="I105" s="184" t="s">
        <v>2998</v>
      </c>
      <c r="J105" s="184" t="s">
        <v>2999</v>
      </c>
    </row>
    <row r="106" spans="1:10" ht="15" customHeight="1" x14ac:dyDescent="0.2">
      <c r="A106" s="180" t="s">
        <v>316</v>
      </c>
      <c r="B106" s="180"/>
      <c r="C106" s="180"/>
      <c r="D106" s="180"/>
      <c r="E106" s="180"/>
      <c r="F106" s="180"/>
      <c r="G106" s="180"/>
      <c r="H106" s="180"/>
      <c r="I106" s="180"/>
      <c r="J106" s="180"/>
    </row>
    <row r="107" spans="1:10" x14ac:dyDescent="0.2">
      <c r="A107" s="369" t="s">
        <v>801</v>
      </c>
      <c r="B107" s="369"/>
      <c r="C107" s="369"/>
      <c r="D107" s="369"/>
      <c r="E107" s="369"/>
      <c r="F107" s="272" t="s">
        <v>802</v>
      </c>
      <c r="G107" s="272" t="s">
        <v>803</v>
      </c>
      <c r="H107" s="272" t="s">
        <v>804</v>
      </c>
      <c r="I107" s="272" t="s">
        <v>804</v>
      </c>
      <c r="J107" s="272" t="s">
        <v>804</v>
      </c>
    </row>
    <row r="108" spans="1:10" x14ac:dyDescent="0.2">
      <c r="A108" s="369" t="s">
        <v>805</v>
      </c>
      <c r="B108" s="369"/>
      <c r="C108" s="369"/>
      <c r="D108" s="369"/>
      <c r="E108" s="369"/>
      <c r="F108" s="272" t="s">
        <v>806</v>
      </c>
      <c r="G108" s="272" t="s">
        <v>807</v>
      </c>
      <c r="H108" s="272" t="s">
        <v>808</v>
      </c>
      <c r="I108" s="272" t="s">
        <v>808</v>
      </c>
      <c r="J108" s="272" t="s">
        <v>808</v>
      </c>
    </row>
    <row r="109" spans="1:10" x14ac:dyDescent="0.2">
      <c r="A109" s="369" t="s">
        <v>809</v>
      </c>
      <c r="B109" s="369"/>
      <c r="C109" s="369"/>
      <c r="D109" s="369"/>
      <c r="E109" s="369"/>
      <c r="F109" s="272">
        <v>118</v>
      </c>
      <c r="G109" s="272" t="s">
        <v>810</v>
      </c>
      <c r="H109" s="272" t="s">
        <v>810</v>
      </c>
      <c r="I109" s="272" t="s">
        <v>810</v>
      </c>
      <c r="J109" s="272" t="s">
        <v>810</v>
      </c>
    </row>
    <row r="110" spans="1:10" x14ac:dyDescent="0.2">
      <c r="A110" s="370"/>
      <c r="B110" s="370"/>
      <c r="C110" s="370"/>
      <c r="D110" s="370"/>
      <c r="E110" s="370"/>
      <c r="F110" s="361"/>
      <c r="G110" s="362"/>
      <c r="H110" s="362"/>
      <c r="I110" s="362"/>
      <c r="J110" s="362"/>
    </row>
    <row r="111" spans="1:10" ht="23.25" customHeight="1" x14ac:dyDescent="0.2">
      <c r="A111" s="180" t="s">
        <v>324</v>
      </c>
      <c r="B111" s="180"/>
      <c r="C111" s="180"/>
      <c r="D111" s="180"/>
      <c r="E111" s="180"/>
      <c r="F111" s="180"/>
      <c r="G111" s="180"/>
      <c r="H111" s="180"/>
      <c r="I111" s="180"/>
      <c r="J111" s="180"/>
    </row>
    <row r="112" spans="1:10" x14ac:dyDescent="0.2">
      <c r="A112" s="369" t="s">
        <v>811</v>
      </c>
      <c r="B112" s="369"/>
      <c r="C112" s="369"/>
      <c r="D112" s="369"/>
      <c r="E112" s="369"/>
      <c r="F112" s="371">
        <v>0.91</v>
      </c>
      <c r="G112" s="371">
        <v>0.95</v>
      </c>
      <c r="H112" s="371">
        <v>0.95</v>
      </c>
      <c r="I112" s="371">
        <v>0.95</v>
      </c>
      <c r="J112" s="371">
        <v>0.95</v>
      </c>
    </row>
    <row r="113" spans="1:10" x14ac:dyDescent="0.2">
      <c r="A113" s="372" t="s">
        <v>812</v>
      </c>
      <c r="B113" s="372"/>
      <c r="C113" s="372"/>
      <c r="D113" s="372"/>
      <c r="E113" s="372"/>
      <c r="F113" s="371">
        <v>0.83</v>
      </c>
      <c r="G113" s="371">
        <v>0.85</v>
      </c>
      <c r="H113" s="371">
        <v>0.85</v>
      </c>
      <c r="I113" s="371">
        <v>0.85</v>
      </c>
      <c r="J113" s="371">
        <v>0.85</v>
      </c>
    </row>
    <row r="114" spans="1:10" x14ac:dyDescent="0.2">
      <c r="A114" s="369" t="s">
        <v>813</v>
      </c>
      <c r="B114" s="369"/>
      <c r="C114" s="369"/>
      <c r="D114" s="369"/>
      <c r="E114" s="369"/>
      <c r="F114" s="272">
        <v>129</v>
      </c>
      <c r="G114" s="272">
        <v>129</v>
      </c>
      <c r="H114" s="272">
        <v>129</v>
      </c>
      <c r="I114" s="272">
        <v>129</v>
      </c>
      <c r="J114" s="272">
        <v>129</v>
      </c>
    </row>
    <row r="115" spans="1:10" x14ac:dyDescent="0.2">
      <c r="A115" s="369" t="s">
        <v>814</v>
      </c>
      <c r="B115" s="369"/>
      <c r="C115" s="369"/>
      <c r="D115" s="369"/>
      <c r="E115" s="369"/>
      <c r="F115" s="272" t="s">
        <v>815</v>
      </c>
      <c r="G115" s="272" t="s">
        <v>816</v>
      </c>
      <c r="H115" s="272" t="s">
        <v>817</v>
      </c>
      <c r="I115" s="272" t="s">
        <v>817</v>
      </c>
      <c r="J115" s="272" t="s">
        <v>817</v>
      </c>
    </row>
    <row r="116" spans="1:10" ht="9.75" customHeight="1" x14ac:dyDescent="0.2">
      <c r="A116" s="307"/>
      <c r="B116" s="308"/>
      <c r="C116" s="308"/>
      <c r="D116" s="308"/>
      <c r="E116" s="308"/>
      <c r="F116" s="308"/>
      <c r="G116" s="308"/>
      <c r="H116" s="308"/>
      <c r="I116" s="308"/>
      <c r="J116" s="309"/>
    </row>
    <row r="117" spans="1:10" x14ac:dyDescent="0.2">
      <c r="A117" s="222"/>
      <c r="B117" s="222"/>
      <c r="C117" s="222"/>
      <c r="D117" s="222"/>
      <c r="E117" s="274" t="s">
        <v>382</v>
      </c>
      <c r="F117" s="229"/>
      <c r="G117" s="222"/>
      <c r="H117" s="222"/>
      <c r="I117" s="222"/>
      <c r="J117" s="223" t="s">
        <v>383</v>
      </c>
    </row>
    <row r="118" spans="1:10" ht="34.5" thickBot="1" x14ac:dyDescent="0.25">
      <c r="A118" s="224"/>
      <c r="B118" s="224" t="s">
        <v>188</v>
      </c>
      <c r="C118" s="225"/>
      <c r="D118" s="226"/>
      <c r="E118" s="184" t="str">
        <f t="shared" ref="E118:J118" si="20">E23</f>
        <v>Actuals           2014-2015</v>
      </c>
      <c r="F118" s="184" t="str">
        <f t="shared" si="20"/>
        <v>Approved Estimates          2015-2016</v>
      </c>
      <c r="G118" s="184" t="str">
        <f t="shared" si="20"/>
        <v>Revised Estimates                 2015-2016</v>
      </c>
      <c r="H118" s="184" t="str">
        <f t="shared" si="20"/>
        <v>Budget Estimates      2016-2017</v>
      </c>
      <c r="I118" s="184" t="str">
        <f t="shared" si="20"/>
        <v>Forward Estimates     2017-2018</v>
      </c>
      <c r="J118" s="184" t="str">
        <f t="shared" si="20"/>
        <v>Forward Estimates     2018-2019</v>
      </c>
    </row>
    <row r="119" spans="1:10" ht="6" customHeight="1" x14ac:dyDescent="0.2">
      <c r="A119" s="227"/>
      <c r="B119" s="227"/>
      <c r="C119" s="227"/>
      <c r="D119" s="227"/>
      <c r="E119" s="227"/>
      <c r="F119" s="227"/>
      <c r="G119" s="227"/>
      <c r="H119" s="227"/>
      <c r="I119" s="228"/>
      <c r="J119" s="227"/>
    </row>
    <row r="120" spans="1:10" x14ac:dyDescent="0.2">
      <c r="A120" s="229" t="s">
        <v>7</v>
      </c>
      <c r="B120" s="229"/>
      <c r="C120" s="229"/>
      <c r="D120" s="229"/>
      <c r="E120" s="222"/>
      <c r="F120" s="230"/>
      <c r="G120" s="230"/>
      <c r="H120" s="230"/>
      <c r="I120" s="222"/>
      <c r="J120" s="222"/>
    </row>
    <row r="121" spans="1:10" x14ac:dyDescent="0.2">
      <c r="A121" s="222"/>
      <c r="B121" s="222" t="s">
        <v>781</v>
      </c>
      <c r="C121" s="222"/>
      <c r="D121" s="222"/>
      <c r="E121" s="231">
        <f t="shared" ref="E121:J121" si="21">E66</f>
        <v>247609.89</v>
      </c>
      <c r="F121" s="231">
        <f t="shared" si="21"/>
        <v>316100</v>
      </c>
      <c r="G121" s="231">
        <f t="shared" si="21"/>
        <v>254600</v>
      </c>
      <c r="H121" s="231">
        <f t="shared" si="21"/>
        <v>319500</v>
      </c>
      <c r="I121" s="231">
        <f t="shared" si="21"/>
        <v>347400</v>
      </c>
      <c r="J121" s="231">
        <f t="shared" si="21"/>
        <v>351500</v>
      </c>
    </row>
    <row r="122" spans="1:10" ht="15" customHeight="1" x14ac:dyDescent="0.2">
      <c r="A122" s="222"/>
      <c r="B122" s="222"/>
      <c r="C122" s="229" t="s">
        <v>385</v>
      </c>
      <c r="D122" s="235"/>
      <c r="E122" s="236">
        <f t="shared" ref="E122:J122" si="22">SUM(E121:E121)</f>
        <v>247609.89</v>
      </c>
      <c r="F122" s="236">
        <f t="shared" si="22"/>
        <v>316100</v>
      </c>
      <c r="G122" s="236">
        <f t="shared" si="22"/>
        <v>254600</v>
      </c>
      <c r="H122" s="236">
        <f t="shared" si="22"/>
        <v>319500</v>
      </c>
      <c r="I122" s="236">
        <f t="shared" si="22"/>
        <v>347400</v>
      </c>
      <c r="J122" s="236">
        <f t="shared" si="22"/>
        <v>351500</v>
      </c>
    </row>
    <row r="123" spans="1:10" ht="7.5" customHeight="1" thickBot="1" x14ac:dyDescent="0.25">
      <c r="A123" s="222"/>
      <c r="B123" s="222"/>
      <c r="C123" s="229"/>
      <c r="D123" s="235"/>
      <c r="E123" s="275"/>
      <c r="F123" s="275"/>
      <c r="G123" s="275"/>
      <c r="H123" s="275"/>
      <c r="I123" s="275"/>
      <c r="J123" s="275"/>
    </row>
    <row r="124" spans="1:10" x14ac:dyDescent="0.2">
      <c r="A124" s="237" t="s">
        <v>196</v>
      </c>
      <c r="B124" s="237"/>
      <c r="C124" s="233"/>
      <c r="D124" s="238"/>
      <c r="E124" s="242"/>
      <c r="F124" s="242"/>
      <c r="G124" s="242"/>
      <c r="H124" s="227"/>
      <c r="I124" s="227"/>
      <c r="J124" s="227"/>
    </row>
    <row r="125" spans="1:10" ht="15" customHeight="1" x14ac:dyDescent="0.2">
      <c r="A125" s="222"/>
      <c r="B125" s="222" t="s">
        <v>781</v>
      </c>
      <c r="C125" s="222"/>
      <c r="D125" s="238"/>
      <c r="E125" s="231">
        <f t="shared" ref="E125:J125" si="23">E67</f>
        <v>0</v>
      </c>
      <c r="F125" s="231">
        <f t="shared" si="23"/>
        <v>0</v>
      </c>
      <c r="G125" s="231">
        <f t="shared" si="23"/>
        <v>0</v>
      </c>
      <c r="H125" s="231">
        <f t="shared" si="23"/>
        <v>0</v>
      </c>
      <c r="I125" s="231">
        <f t="shared" si="23"/>
        <v>0</v>
      </c>
      <c r="J125" s="231">
        <f t="shared" si="23"/>
        <v>0</v>
      </c>
    </row>
    <row r="126" spans="1:10" x14ac:dyDescent="0.2">
      <c r="A126" s="229"/>
      <c r="B126" s="229"/>
      <c r="C126" s="229" t="s">
        <v>386</v>
      </c>
      <c r="D126" s="239"/>
      <c r="E126" s="236">
        <f t="shared" ref="E126:J126" si="24">SUM(E125:E125)</f>
        <v>0</v>
      </c>
      <c r="F126" s="236">
        <f t="shared" si="24"/>
        <v>0</v>
      </c>
      <c r="G126" s="236">
        <f t="shared" si="24"/>
        <v>0</v>
      </c>
      <c r="H126" s="236">
        <f t="shared" si="24"/>
        <v>0</v>
      </c>
      <c r="I126" s="236">
        <f t="shared" si="24"/>
        <v>0</v>
      </c>
      <c r="J126" s="236">
        <f t="shared" si="24"/>
        <v>0</v>
      </c>
    </row>
    <row r="127" spans="1:10" ht="7.5" customHeight="1" thickBot="1" x14ac:dyDescent="0.25">
      <c r="A127" s="229"/>
      <c r="B127" s="229"/>
      <c r="C127" s="229"/>
      <c r="D127" s="239"/>
      <c r="E127" s="275"/>
      <c r="F127" s="275"/>
      <c r="G127" s="275"/>
      <c r="H127" s="275"/>
      <c r="I127" s="275"/>
      <c r="J127" s="275"/>
    </row>
    <row r="128" spans="1:10" ht="15" customHeight="1" x14ac:dyDescent="0.2">
      <c r="A128" s="229" t="s">
        <v>387</v>
      </c>
      <c r="B128" s="222"/>
      <c r="C128" s="222"/>
      <c r="D128" s="240"/>
      <c r="E128" s="241"/>
      <c r="F128" s="241"/>
      <c r="G128" s="241"/>
      <c r="H128" s="241"/>
      <c r="I128" s="241"/>
      <c r="J128" s="241"/>
    </row>
    <row r="129" spans="1:10" x14ac:dyDescent="0.2">
      <c r="A129" s="222"/>
      <c r="B129" s="222" t="s">
        <v>781</v>
      </c>
      <c r="C129" s="222"/>
      <c r="D129" s="238"/>
      <c r="E129" s="231">
        <f t="shared" ref="E129:J129" si="25">E68</f>
        <v>190526.7</v>
      </c>
      <c r="F129" s="231">
        <f t="shared" si="25"/>
        <v>217500</v>
      </c>
      <c r="G129" s="231">
        <f t="shared" si="25"/>
        <v>189200</v>
      </c>
      <c r="H129" s="231">
        <f t="shared" si="25"/>
        <v>237600</v>
      </c>
      <c r="I129" s="231">
        <f t="shared" si="25"/>
        <v>237600</v>
      </c>
      <c r="J129" s="231">
        <f t="shared" si="25"/>
        <v>237600</v>
      </c>
    </row>
    <row r="130" spans="1:10" ht="15" customHeight="1" thickBot="1" x14ac:dyDescent="0.25">
      <c r="A130" s="222"/>
      <c r="B130" s="222"/>
      <c r="C130" s="229" t="s">
        <v>388</v>
      </c>
      <c r="D130" s="240"/>
      <c r="E130" s="236">
        <f t="shared" ref="E130:J130" si="26">SUM(E129:E129)</f>
        <v>190526.7</v>
      </c>
      <c r="F130" s="236">
        <f t="shared" si="26"/>
        <v>217500</v>
      </c>
      <c r="G130" s="236">
        <f t="shared" si="26"/>
        <v>189200</v>
      </c>
      <c r="H130" s="236">
        <f t="shared" si="26"/>
        <v>237600</v>
      </c>
      <c r="I130" s="236">
        <f t="shared" si="26"/>
        <v>237600</v>
      </c>
      <c r="J130" s="236">
        <f t="shared" si="26"/>
        <v>237600</v>
      </c>
    </row>
    <row r="131" spans="1:10" ht="5.25" customHeight="1" x14ac:dyDescent="0.2">
      <c r="A131" s="240"/>
      <c r="B131" s="229"/>
      <c r="C131" s="222"/>
      <c r="D131" s="240"/>
      <c r="E131" s="242"/>
      <c r="F131" s="242"/>
      <c r="G131" s="242"/>
      <c r="H131" s="242"/>
      <c r="I131" s="242"/>
      <c r="J131" s="242"/>
    </row>
    <row r="132" spans="1:10" x14ac:dyDescent="0.2">
      <c r="A132" s="229" t="s">
        <v>198</v>
      </c>
      <c r="B132" s="222"/>
      <c r="C132" s="222"/>
      <c r="D132" s="240"/>
      <c r="E132" s="230"/>
      <c r="F132" s="230"/>
      <c r="G132" s="230"/>
      <c r="H132" s="230"/>
      <c r="I132" s="230"/>
      <c r="J132" s="230"/>
    </row>
    <row r="133" spans="1:10" x14ac:dyDescent="0.2">
      <c r="A133" s="222"/>
      <c r="B133" s="222" t="s">
        <v>781</v>
      </c>
      <c r="C133" s="222"/>
      <c r="D133" s="240"/>
      <c r="E133" s="231">
        <f t="shared" ref="E133:J133" si="27">E69</f>
        <v>0</v>
      </c>
      <c r="F133" s="231">
        <f t="shared" si="27"/>
        <v>0</v>
      </c>
      <c r="G133" s="231">
        <f t="shared" si="27"/>
        <v>0</v>
      </c>
      <c r="H133" s="231">
        <f t="shared" si="27"/>
        <v>0</v>
      </c>
      <c r="I133" s="231">
        <f t="shared" si="27"/>
        <v>0</v>
      </c>
      <c r="J133" s="231">
        <f t="shared" si="27"/>
        <v>0</v>
      </c>
    </row>
    <row r="134" spans="1:10" ht="15" thickBot="1" x14ac:dyDescent="0.25">
      <c r="A134" s="222"/>
      <c r="B134" s="222"/>
      <c r="C134" s="229" t="s">
        <v>389</v>
      </c>
      <c r="D134" s="240"/>
      <c r="E134" s="236">
        <f t="shared" ref="E134:J134" si="28">SUM(E133:E133)</f>
        <v>0</v>
      </c>
      <c r="F134" s="236">
        <f t="shared" si="28"/>
        <v>0</v>
      </c>
      <c r="G134" s="236">
        <f t="shared" si="28"/>
        <v>0</v>
      </c>
      <c r="H134" s="236">
        <f t="shared" si="28"/>
        <v>0</v>
      </c>
      <c r="I134" s="236">
        <f t="shared" si="28"/>
        <v>0</v>
      </c>
      <c r="J134" s="236">
        <f t="shared" si="28"/>
        <v>0</v>
      </c>
    </row>
    <row r="135" spans="1:10" ht="5.25" customHeight="1" x14ac:dyDescent="0.2">
      <c r="A135" s="240"/>
      <c r="B135" s="229"/>
      <c r="C135" s="222"/>
      <c r="D135" s="240"/>
      <c r="E135" s="242"/>
      <c r="F135" s="242"/>
      <c r="G135" s="242"/>
      <c r="H135" s="242"/>
      <c r="I135" s="242"/>
      <c r="J135" s="242"/>
    </row>
    <row r="136" spans="1:10" x14ac:dyDescent="0.2">
      <c r="A136" s="243" t="s">
        <v>296</v>
      </c>
      <c r="B136" s="229"/>
      <c r="C136" s="222"/>
      <c r="D136" s="240"/>
      <c r="E136" s="230"/>
      <c r="F136" s="230"/>
      <c r="G136" s="230"/>
      <c r="H136" s="230"/>
      <c r="I136" s="230"/>
      <c r="J136" s="230"/>
    </row>
    <row r="137" spans="1:10" x14ac:dyDescent="0.2">
      <c r="A137" s="233"/>
      <c r="B137" s="233" t="s">
        <v>781</v>
      </c>
      <c r="C137" s="222"/>
      <c r="D137" s="240"/>
      <c r="E137" s="231">
        <f t="shared" ref="E137:J137" si="29">E80</f>
        <v>91042.23000000001</v>
      </c>
      <c r="F137" s="231">
        <f t="shared" si="29"/>
        <v>96100</v>
      </c>
      <c r="G137" s="231">
        <f t="shared" si="29"/>
        <v>80500</v>
      </c>
      <c r="H137" s="231">
        <f t="shared" si="29"/>
        <v>92100</v>
      </c>
      <c r="I137" s="231">
        <f t="shared" si="29"/>
        <v>92100</v>
      </c>
      <c r="J137" s="231">
        <f t="shared" si="29"/>
        <v>92100</v>
      </c>
    </row>
    <row r="138" spans="1:10" ht="15" thickBot="1" x14ac:dyDescent="0.25">
      <c r="A138" s="222"/>
      <c r="B138" s="222"/>
      <c r="C138" s="222" t="s">
        <v>390</v>
      </c>
      <c r="D138" s="235"/>
      <c r="E138" s="236">
        <f t="shared" ref="E138:J138" si="30">SUM(E137:E137)</f>
        <v>91042.23000000001</v>
      </c>
      <c r="F138" s="236">
        <f t="shared" si="30"/>
        <v>96100</v>
      </c>
      <c r="G138" s="236">
        <f t="shared" si="30"/>
        <v>80500</v>
      </c>
      <c r="H138" s="236">
        <f t="shared" si="30"/>
        <v>92100</v>
      </c>
      <c r="I138" s="236">
        <f t="shared" si="30"/>
        <v>92100</v>
      </c>
      <c r="J138" s="236">
        <f t="shared" si="30"/>
        <v>92100</v>
      </c>
    </row>
    <row r="139" spans="1:10" ht="5.25" customHeight="1" x14ac:dyDescent="0.2">
      <c r="A139" s="222"/>
      <c r="B139" s="222"/>
      <c r="C139" s="222"/>
      <c r="D139" s="240"/>
      <c r="E139" s="242"/>
      <c r="F139" s="242"/>
      <c r="G139" s="242"/>
      <c r="H139" s="227"/>
      <c r="I139" s="227"/>
      <c r="J139" s="227"/>
    </row>
    <row r="140" spans="1:10" x14ac:dyDescent="0.2">
      <c r="A140" s="244" t="s">
        <v>15</v>
      </c>
      <c r="B140" s="222"/>
      <c r="C140" s="222"/>
      <c r="D140" s="222"/>
      <c r="E140" s="222"/>
      <c r="F140" s="222"/>
      <c r="G140" s="222"/>
      <c r="H140" s="222"/>
      <c r="I140" s="222"/>
      <c r="J140" s="222"/>
    </row>
    <row r="141" spans="1:10" x14ac:dyDescent="0.2">
      <c r="A141" s="233"/>
      <c r="B141" s="233" t="s">
        <v>781</v>
      </c>
      <c r="C141" s="233"/>
      <c r="D141" s="222"/>
      <c r="E141" s="231">
        <f t="shared" ref="E141:J141" si="31">E87</f>
        <v>0</v>
      </c>
      <c r="F141" s="231">
        <f t="shared" si="31"/>
        <v>0</v>
      </c>
      <c r="G141" s="231">
        <f t="shared" si="31"/>
        <v>0</v>
      </c>
      <c r="H141" s="231">
        <f t="shared" si="31"/>
        <v>0</v>
      </c>
      <c r="I141" s="231">
        <f t="shared" si="31"/>
        <v>0</v>
      </c>
      <c r="J141" s="231">
        <f t="shared" si="31"/>
        <v>0</v>
      </c>
    </row>
    <row r="142" spans="1:10" ht="15" thickBot="1" x14ac:dyDescent="0.25">
      <c r="A142" s="243"/>
      <c r="B142" s="243" t="s">
        <v>69</v>
      </c>
      <c r="C142" s="240"/>
      <c r="D142" s="222"/>
      <c r="E142" s="236">
        <f t="shared" ref="E142:J142" si="32">SUM(E141:E141)</f>
        <v>0</v>
      </c>
      <c r="F142" s="236">
        <f t="shared" si="32"/>
        <v>0</v>
      </c>
      <c r="G142" s="236">
        <f t="shared" si="32"/>
        <v>0</v>
      </c>
      <c r="H142" s="236">
        <f t="shared" si="32"/>
        <v>0</v>
      </c>
      <c r="I142" s="236">
        <f t="shared" si="32"/>
        <v>0</v>
      </c>
      <c r="J142" s="236">
        <f t="shared" si="32"/>
        <v>0</v>
      </c>
    </row>
    <row r="143" spans="1:10" x14ac:dyDescent="0.2">
      <c r="A143" s="222"/>
      <c r="B143" s="222"/>
      <c r="C143" s="222"/>
      <c r="D143" s="222"/>
      <c r="E143" s="242"/>
      <c r="F143" s="242"/>
      <c r="G143" s="242"/>
      <c r="H143" s="227"/>
      <c r="I143" s="227"/>
      <c r="J143" s="227"/>
    </row>
    <row r="144" spans="1:10" ht="15" thickBot="1" x14ac:dyDescent="0.25">
      <c r="A144" s="222"/>
      <c r="B144" s="222"/>
      <c r="C144" s="222"/>
      <c r="D144" s="222"/>
      <c r="E144" s="240"/>
      <c r="F144" s="276" t="s">
        <v>391</v>
      </c>
      <c r="G144" s="240"/>
      <c r="H144" s="240"/>
      <c r="I144" s="245"/>
      <c r="J144" s="245"/>
    </row>
    <row r="145" spans="1:10" ht="7.5" customHeight="1" thickTop="1" x14ac:dyDescent="0.2">
      <c r="A145" s="246"/>
      <c r="B145" s="246"/>
      <c r="C145" s="246"/>
      <c r="D145" s="246"/>
      <c r="E145" s="246"/>
      <c r="F145" s="277"/>
      <c r="G145" s="246"/>
      <c r="H145" s="246"/>
      <c r="I145" s="246"/>
      <c r="J145" s="246"/>
    </row>
    <row r="146" spans="1:10" x14ac:dyDescent="0.2">
      <c r="A146" s="247"/>
      <c r="B146" s="247">
        <v>210</v>
      </c>
      <c r="C146" s="222" t="s">
        <v>7</v>
      </c>
      <c r="D146" s="222"/>
      <c r="E146" s="231">
        <f t="shared" ref="E146:J161" si="33">SUMIF($A$47:$A$917,$B146,E$47:E$917)</f>
        <v>247609.89</v>
      </c>
      <c r="F146" s="231">
        <f t="shared" si="33"/>
        <v>316100</v>
      </c>
      <c r="G146" s="231">
        <f t="shared" si="33"/>
        <v>254600</v>
      </c>
      <c r="H146" s="231">
        <f t="shared" si="33"/>
        <v>319500</v>
      </c>
      <c r="I146" s="231">
        <f t="shared" si="33"/>
        <v>347400</v>
      </c>
      <c r="J146" s="231">
        <f t="shared" si="33"/>
        <v>351500</v>
      </c>
    </row>
    <row r="147" spans="1:10" x14ac:dyDescent="0.2">
      <c r="A147" s="247"/>
      <c r="B147" s="247">
        <v>212</v>
      </c>
      <c r="C147" s="222" t="s">
        <v>9</v>
      </c>
      <c r="D147" s="222"/>
      <c r="E147" s="231">
        <f t="shared" si="33"/>
        <v>0</v>
      </c>
      <c r="F147" s="231">
        <f t="shared" si="33"/>
        <v>0</v>
      </c>
      <c r="G147" s="231">
        <f t="shared" si="33"/>
        <v>0</v>
      </c>
      <c r="H147" s="231">
        <f t="shared" si="33"/>
        <v>0</v>
      </c>
      <c r="I147" s="231">
        <f t="shared" si="33"/>
        <v>0</v>
      </c>
      <c r="J147" s="231">
        <f t="shared" si="33"/>
        <v>0</v>
      </c>
    </row>
    <row r="148" spans="1:10" x14ac:dyDescent="0.2">
      <c r="A148" s="247"/>
      <c r="B148" s="247">
        <v>213</v>
      </c>
      <c r="C148" s="222" t="s">
        <v>201</v>
      </c>
      <c r="D148" s="222"/>
      <c r="E148" s="231">
        <f t="shared" si="33"/>
        <v>0</v>
      </c>
      <c r="F148" s="231">
        <f t="shared" si="33"/>
        <v>0</v>
      </c>
      <c r="G148" s="231">
        <f t="shared" si="33"/>
        <v>0</v>
      </c>
      <c r="H148" s="231">
        <f t="shared" si="33"/>
        <v>0</v>
      </c>
      <c r="I148" s="231">
        <f t="shared" si="33"/>
        <v>0</v>
      </c>
      <c r="J148" s="231">
        <f t="shared" si="33"/>
        <v>0</v>
      </c>
    </row>
    <row r="149" spans="1:10" x14ac:dyDescent="0.2">
      <c r="A149" s="247"/>
      <c r="B149" s="247">
        <v>216</v>
      </c>
      <c r="C149" s="222" t="s">
        <v>10</v>
      </c>
      <c r="D149" s="222"/>
      <c r="E149" s="231">
        <f t="shared" si="33"/>
        <v>190526.7</v>
      </c>
      <c r="F149" s="231">
        <f t="shared" si="33"/>
        <v>217500</v>
      </c>
      <c r="G149" s="231">
        <f t="shared" si="33"/>
        <v>189200</v>
      </c>
      <c r="H149" s="231">
        <f t="shared" si="33"/>
        <v>237600</v>
      </c>
      <c r="I149" s="231">
        <f t="shared" si="33"/>
        <v>237600</v>
      </c>
      <c r="J149" s="231">
        <f t="shared" si="33"/>
        <v>237600</v>
      </c>
    </row>
    <row r="150" spans="1:10" x14ac:dyDescent="0.2">
      <c r="A150" s="247"/>
      <c r="B150" s="247">
        <v>218</v>
      </c>
      <c r="C150" s="222" t="s">
        <v>202</v>
      </c>
      <c r="D150" s="222"/>
      <c r="E150" s="231">
        <f t="shared" si="33"/>
        <v>0</v>
      </c>
      <c r="F150" s="231">
        <f t="shared" si="33"/>
        <v>0</v>
      </c>
      <c r="G150" s="231">
        <f t="shared" si="33"/>
        <v>0</v>
      </c>
      <c r="H150" s="231">
        <f t="shared" si="33"/>
        <v>0</v>
      </c>
      <c r="I150" s="231">
        <f t="shared" si="33"/>
        <v>0</v>
      </c>
      <c r="J150" s="231">
        <f t="shared" si="33"/>
        <v>0</v>
      </c>
    </row>
    <row r="151" spans="1:10" x14ac:dyDescent="0.2">
      <c r="A151" s="247"/>
      <c r="B151" s="247">
        <v>219</v>
      </c>
      <c r="C151" s="222" t="s">
        <v>203</v>
      </c>
      <c r="D151" s="222"/>
      <c r="E151" s="231">
        <f t="shared" si="33"/>
        <v>0</v>
      </c>
      <c r="F151" s="231">
        <f t="shared" si="33"/>
        <v>0</v>
      </c>
      <c r="G151" s="231">
        <f t="shared" si="33"/>
        <v>0</v>
      </c>
      <c r="H151" s="231">
        <f t="shared" si="33"/>
        <v>0</v>
      </c>
      <c r="I151" s="231">
        <f t="shared" si="33"/>
        <v>0</v>
      </c>
      <c r="J151" s="231">
        <f t="shared" si="33"/>
        <v>0</v>
      </c>
    </row>
    <row r="152" spans="1:10" x14ac:dyDescent="0.2">
      <c r="A152" s="247"/>
      <c r="B152" s="247">
        <v>220</v>
      </c>
      <c r="C152" s="222" t="s">
        <v>204</v>
      </c>
      <c r="D152" s="222"/>
      <c r="E152" s="231">
        <f t="shared" si="33"/>
        <v>0</v>
      </c>
      <c r="F152" s="231">
        <f t="shared" si="33"/>
        <v>0</v>
      </c>
      <c r="G152" s="231">
        <f t="shared" si="33"/>
        <v>0</v>
      </c>
      <c r="H152" s="231">
        <f t="shared" si="33"/>
        <v>0</v>
      </c>
      <c r="I152" s="231">
        <f t="shared" si="33"/>
        <v>0</v>
      </c>
      <c r="J152" s="231">
        <f t="shared" si="33"/>
        <v>0</v>
      </c>
    </row>
    <row r="153" spans="1:10" x14ac:dyDescent="0.2">
      <c r="A153" s="247"/>
      <c r="B153" s="247">
        <v>222</v>
      </c>
      <c r="C153" s="222" t="s">
        <v>205</v>
      </c>
      <c r="D153" s="222"/>
      <c r="E153" s="231">
        <f t="shared" si="33"/>
        <v>23323.43</v>
      </c>
      <c r="F153" s="231">
        <f t="shared" si="33"/>
        <v>20000</v>
      </c>
      <c r="G153" s="231">
        <f t="shared" si="33"/>
        <v>24000</v>
      </c>
      <c r="H153" s="231">
        <f t="shared" si="33"/>
        <v>20000</v>
      </c>
      <c r="I153" s="231">
        <f t="shared" si="33"/>
        <v>20000</v>
      </c>
      <c r="J153" s="231">
        <f t="shared" si="33"/>
        <v>20000</v>
      </c>
    </row>
    <row r="154" spans="1:10" x14ac:dyDescent="0.2">
      <c r="A154" s="247"/>
      <c r="B154" s="247">
        <v>224</v>
      </c>
      <c r="C154" s="222" t="s">
        <v>206</v>
      </c>
      <c r="D154" s="222"/>
      <c r="E154" s="231">
        <f t="shared" si="33"/>
        <v>19937.82</v>
      </c>
      <c r="F154" s="231">
        <f t="shared" si="33"/>
        <v>28000</v>
      </c>
      <c r="G154" s="231">
        <f t="shared" si="33"/>
        <v>20500</v>
      </c>
      <c r="H154" s="231">
        <f t="shared" si="33"/>
        <v>25000</v>
      </c>
      <c r="I154" s="231">
        <f t="shared" si="33"/>
        <v>25000</v>
      </c>
      <c r="J154" s="231">
        <f t="shared" si="33"/>
        <v>25000</v>
      </c>
    </row>
    <row r="155" spans="1:10" x14ac:dyDescent="0.2">
      <c r="A155" s="247"/>
      <c r="B155" s="247">
        <v>226</v>
      </c>
      <c r="C155" s="222" t="s">
        <v>207</v>
      </c>
      <c r="D155" s="222"/>
      <c r="E155" s="231">
        <f t="shared" si="33"/>
        <v>9279.7099999999991</v>
      </c>
      <c r="F155" s="231">
        <f t="shared" si="33"/>
        <v>11000</v>
      </c>
      <c r="G155" s="231">
        <f t="shared" si="33"/>
        <v>10100</v>
      </c>
      <c r="H155" s="231">
        <f t="shared" si="33"/>
        <v>10000</v>
      </c>
      <c r="I155" s="231">
        <f t="shared" si="33"/>
        <v>10000</v>
      </c>
      <c r="J155" s="231">
        <f t="shared" si="33"/>
        <v>10000</v>
      </c>
    </row>
    <row r="156" spans="1:10" x14ac:dyDescent="0.2">
      <c r="A156" s="247"/>
      <c r="B156" s="247">
        <v>228</v>
      </c>
      <c r="C156" s="222" t="s">
        <v>208</v>
      </c>
      <c r="D156" s="222"/>
      <c r="E156" s="231">
        <f t="shared" si="33"/>
        <v>9294.4500000000007</v>
      </c>
      <c r="F156" s="231">
        <f t="shared" si="33"/>
        <v>10000</v>
      </c>
      <c r="G156" s="231">
        <f t="shared" si="33"/>
        <v>10000</v>
      </c>
      <c r="H156" s="231">
        <f t="shared" si="33"/>
        <v>10000</v>
      </c>
      <c r="I156" s="231">
        <f t="shared" si="33"/>
        <v>10000</v>
      </c>
      <c r="J156" s="231">
        <f t="shared" si="33"/>
        <v>10000</v>
      </c>
    </row>
    <row r="157" spans="1:10" x14ac:dyDescent="0.2">
      <c r="A157" s="247"/>
      <c r="B157" s="247">
        <v>229</v>
      </c>
      <c r="C157" s="222" t="s">
        <v>209</v>
      </c>
      <c r="D157" s="222"/>
      <c r="E157" s="231">
        <f t="shared" si="33"/>
        <v>0</v>
      </c>
      <c r="F157" s="231">
        <f t="shared" si="33"/>
        <v>0</v>
      </c>
      <c r="G157" s="231">
        <f t="shared" si="33"/>
        <v>0</v>
      </c>
      <c r="H157" s="231">
        <f t="shared" si="33"/>
        <v>0</v>
      </c>
      <c r="I157" s="231">
        <f t="shared" si="33"/>
        <v>0</v>
      </c>
      <c r="J157" s="231">
        <f t="shared" si="33"/>
        <v>0</v>
      </c>
    </row>
    <row r="158" spans="1:10" x14ac:dyDescent="0.2">
      <c r="A158" s="247"/>
      <c r="B158" s="247">
        <v>230</v>
      </c>
      <c r="C158" s="222" t="s">
        <v>210</v>
      </c>
      <c r="D158" s="222"/>
      <c r="E158" s="231">
        <f t="shared" si="33"/>
        <v>0</v>
      </c>
      <c r="F158" s="231">
        <f t="shared" si="33"/>
        <v>0</v>
      </c>
      <c r="G158" s="231">
        <f t="shared" si="33"/>
        <v>0</v>
      </c>
      <c r="H158" s="231">
        <f t="shared" si="33"/>
        <v>0</v>
      </c>
      <c r="I158" s="231">
        <f t="shared" si="33"/>
        <v>0</v>
      </c>
      <c r="J158" s="231">
        <f t="shared" si="33"/>
        <v>0</v>
      </c>
    </row>
    <row r="159" spans="1:10" x14ac:dyDescent="0.2">
      <c r="A159" s="247"/>
      <c r="B159" s="247">
        <v>232</v>
      </c>
      <c r="C159" s="222" t="s">
        <v>211</v>
      </c>
      <c r="D159" s="222"/>
      <c r="E159" s="231">
        <f t="shared" si="33"/>
        <v>2412</v>
      </c>
      <c r="F159" s="231">
        <f t="shared" si="33"/>
        <v>5000</v>
      </c>
      <c r="G159" s="231">
        <f t="shared" si="33"/>
        <v>2500</v>
      </c>
      <c r="H159" s="231">
        <f t="shared" si="33"/>
        <v>5000</v>
      </c>
      <c r="I159" s="231">
        <f t="shared" si="33"/>
        <v>5000</v>
      </c>
      <c r="J159" s="231">
        <f t="shared" si="33"/>
        <v>5000</v>
      </c>
    </row>
    <row r="160" spans="1:10" x14ac:dyDescent="0.2">
      <c r="A160" s="247"/>
      <c r="B160" s="247">
        <v>234</v>
      </c>
      <c r="C160" s="222" t="s">
        <v>212</v>
      </c>
      <c r="D160" s="222"/>
      <c r="E160" s="231">
        <f t="shared" si="33"/>
        <v>0</v>
      </c>
      <c r="F160" s="231">
        <f t="shared" si="33"/>
        <v>0</v>
      </c>
      <c r="G160" s="231">
        <f t="shared" si="33"/>
        <v>0</v>
      </c>
      <c r="H160" s="231">
        <f t="shared" si="33"/>
        <v>0</v>
      </c>
      <c r="I160" s="231">
        <f t="shared" si="33"/>
        <v>0</v>
      </c>
      <c r="J160" s="231">
        <f t="shared" si="33"/>
        <v>0</v>
      </c>
    </row>
    <row r="161" spans="1:10" x14ac:dyDescent="0.2">
      <c r="A161" s="247"/>
      <c r="B161" s="247">
        <v>236</v>
      </c>
      <c r="C161" s="222" t="s">
        <v>213</v>
      </c>
      <c r="D161" s="222"/>
      <c r="E161" s="231">
        <f t="shared" si="33"/>
        <v>0</v>
      </c>
      <c r="F161" s="231">
        <f t="shared" si="33"/>
        <v>7400</v>
      </c>
      <c r="G161" s="231">
        <f t="shared" si="33"/>
        <v>0</v>
      </c>
      <c r="H161" s="231">
        <f t="shared" si="33"/>
        <v>7400</v>
      </c>
      <c r="I161" s="231">
        <f t="shared" si="33"/>
        <v>7400</v>
      </c>
      <c r="J161" s="231">
        <f t="shared" si="33"/>
        <v>7400</v>
      </c>
    </row>
    <row r="162" spans="1:10" x14ac:dyDescent="0.2">
      <c r="A162" s="247"/>
      <c r="B162" s="247">
        <v>238</v>
      </c>
      <c r="C162" s="222" t="s">
        <v>214</v>
      </c>
      <c r="D162" s="222"/>
      <c r="E162" s="231">
        <f t="shared" ref="E162:J177" si="34">SUMIF($A$47:$A$917,$B162,E$47:E$917)</f>
        <v>0</v>
      </c>
      <c r="F162" s="231">
        <f t="shared" si="34"/>
        <v>0</v>
      </c>
      <c r="G162" s="231">
        <f t="shared" si="34"/>
        <v>0</v>
      </c>
      <c r="H162" s="231">
        <f t="shared" si="34"/>
        <v>0</v>
      </c>
      <c r="I162" s="231">
        <f t="shared" si="34"/>
        <v>0</v>
      </c>
      <c r="J162" s="231">
        <f t="shared" si="34"/>
        <v>0</v>
      </c>
    </row>
    <row r="163" spans="1:10" x14ac:dyDescent="0.2">
      <c r="A163" s="247"/>
      <c r="B163" s="247">
        <v>240</v>
      </c>
      <c r="C163" s="222" t="s">
        <v>215</v>
      </c>
      <c r="D163" s="222"/>
      <c r="E163" s="231">
        <f t="shared" si="34"/>
        <v>0</v>
      </c>
      <c r="F163" s="231">
        <f t="shared" si="34"/>
        <v>0</v>
      </c>
      <c r="G163" s="231">
        <f t="shared" si="34"/>
        <v>0</v>
      </c>
      <c r="H163" s="231">
        <f t="shared" si="34"/>
        <v>0</v>
      </c>
      <c r="I163" s="231">
        <f t="shared" si="34"/>
        <v>0</v>
      </c>
      <c r="J163" s="231">
        <f t="shared" si="34"/>
        <v>0</v>
      </c>
    </row>
    <row r="164" spans="1:10" x14ac:dyDescent="0.2">
      <c r="A164" s="247"/>
      <c r="B164" s="247">
        <v>242</v>
      </c>
      <c r="C164" s="222" t="s">
        <v>216</v>
      </c>
      <c r="D164" s="222"/>
      <c r="E164" s="231">
        <f t="shared" si="34"/>
        <v>0</v>
      </c>
      <c r="F164" s="231">
        <f t="shared" si="34"/>
        <v>0</v>
      </c>
      <c r="G164" s="231">
        <f t="shared" si="34"/>
        <v>0</v>
      </c>
      <c r="H164" s="231">
        <f t="shared" si="34"/>
        <v>0</v>
      </c>
      <c r="I164" s="231">
        <f t="shared" si="34"/>
        <v>0</v>
      </c>
      <c r="J164" s="231">
        <f t="shared" si="34"/>
        <v>0</v>
      </c>
    </row>
    <row r="165" spans="1:10" x14ac:dyDescent="0.2">
      <c r="A165" s="247"/>
      <c r="B165" s="247">
        <v>244</v>
      </c>
      <c r="C165" s="222" t="s">
        <v>217</v>
      </c>
      <c r="D165" s="222"/>
      <c r="E165" s="231">
        <f t="shared" si="34"/>
        <v>0</v>
      </c>
      <c r="F165" s="231">
        <f t="shared" si="34"/>
        <v>0</v>
      </c>
      <c r="G165" s="231">
        <f t="shared" si="34"/>
        <v>0</v>
      </c>
      <c r="H165" s="231">
        <f t="shared" si="34"/>
        <v>0</v>
      </c>
      <c r="I165" s="231">
        <f t="shared" si="34"/>
        <v>0</v>
      </c>
      <c r="J165" s="231">
        <f t="shared" si="34"/>
        <v>0</v>
      </c>
    </row>
    <row r="166" spans="1:10" x14ac:dyDescent="0.2">
      <c r="A166" s="247"/>
      <c r="B166" s="247">
        <v>246</v>
      </c>
      <c r="C166" s="222" t="s">
        <v>218</v>
      </c>
      <c r="D166" s="222"/>
      <c r="E166" s="231">
        <f t="shared" si="34"/>
        <v>900</v>
      </c>
      <c r="F166" s="231">
        <f t="shared" si="34"/>
        <v>2500</v>
      </c>
      <c r="G166" s="231">
        <f t="shared" si="34"/>
        <v>1700</v>
      </c>
      <c r="H166" s="231">
        <f t="shared" si="34"/>
        <v>2500</v>
      </c>
      <c r="I166" s="231">
        <f t="shared" si="34"/>
        <v>2500</v>
      </c>
      <c r="J166" s="231">
        <f t="shared" si="34"/>
        <v>2500</v>
      </c>
    </row>
    <row r="167" spans="1:10" x14ac:dyDescent="0.2">
      <c r="A167" s="247"/>
      <c r="B167" s="247">
        <v>247</v>
      </c>
      <c r="C167" s="222" t="s">
        <v>219</v>
      </c>
      <c r="D167" s="222"/>
      <c r="E167" s="231">
        <f t="shared" si="34"/>
        <v>0</v>
      </c>
      <c r="F167" s="231">
        <f t="shared" si="34"/>
        <v>0</v>
      </c>
      <c r="G167" s="231">
        <f t="shared" si="34"/>
        <v>0</v>
      </c>
      <c r="H167" s="231">
        <f t="shared" si="34"/>
        <v>0</v>
      </c>
      <c r="I167" s="231">
        <f t="shared" si="34"/>
        <v>0</v>
      </c>
      <c r="J167" s="231">
        <f t="shared" si="34"/>
        <v>0</v>
      </c>
    </row>
    <row r="168" spans="1:10" x14ac:dyDescent="0.2">
      <c r="A168" s="247"/>
      <c r="B168" s="247">
        <v>260</v>
      </c>
      <c r="C168" s="222" t="s">
        <v>220</v>
      </c>
      <c r="D168" s="222"/>
      <c r="E168" s="231">
        <f t="shared" si="34"/>
        <v>0</v>
      </c>
      <c r="F168" s="231">
        <f t="shared" si="34"/>
        <v>0</v>
      </c>
      <c r="G168" s="231">
        <f t="shared" si="34"/>
        <v>0</v>
      </c>
      <c r="H168" s="231">
        <f t="shared" si="34"/>
        <v>0</v>
      </c>
      <c r="I168" s="231">
        <f t="shared" si="34"/>
        <v>0</v>
      </c>
      <c r="J168" s="231">
        <f t="shared" si="34"/>
        <v>0</v>
      </c>
    </row>
    <row r="169" spans="1:10" x14ac:dyDescent="0.2">
      <c r="A169" s="247"/>
      <c r="B169" s="247">
        <v>261</v>
      </c>
      <c r="C169" s="222" t="s">
        <v>221</v>
      </c>
      <c r="D169" s="222"/>
      <c r="E169" s="231">
        <f t="shared" si="34"/>
        <v>0</v>
      </c>
      <c r="F169" s="231">
        <f t="shared" si="34"/>
        <v>0</v>
      </c>
      <c r="G169" s="231">
        <f t="shared" si="34"/>
        <v>0</v>
      </c>
      <c r="H169" s="231">
        <f t="shared" si="34"/>
        <v>0</v>
      </c>
      <c r="I169" s="231">
        <f t="shared" si="34"/>
        <v>0</v>
      </c>
      <c r="J169" s="231">
        <f t="shared" si="34"/>
        <v>0</v>
      </c>
    </row>
    <row r="170" spans="1:10" x14ac:dyDescent="0.2">
      <c r="A170" s="247"/>
      <c r="B170" s="247">
        <v>265</v>
      </c>
      <c r="C170" s="222" t="s">
        <v>222</v>
      </c>
      <c r="D170" s="222"/>
      <c r="E170" s="231">
        <f t="shared" si="34"/>
        <v>0</v>
      </c>
      <c r="F170" s="231">
        <f t="shared" si="34"/>
        <v>0</v>
      </c>
      <c r="G170" s="231">
        <f t="shared" si="34"/>
        <v>0</v>
      </c>
      <c r="H170" s="231">
        <f t="shared" si="34"/>
        <v>0</v>
      </c>
      <c r="I170" s="231">
        <f t="shared" si="34"/>
        <v>0</v>
      </c>
      <c r="J170" s="231">
        <f t="shared" si="34"/>
        <v>0</v>
      </c>
    </row>
    <row r="171" spans="1:10" x14ac:dyDescent="0.2">
      <c r="A171" s="247"/>
      <c r="B171" s="247">
        <v>266</v>
      </c>
      <c r="C171" s="222" t="s">
        <v>223</v>
      </c>
      <c r="D171" s="222"/>
      <c r="E171" s="231">
        <f t="shared" si="34"/>
        <v>0</v>
      </c>
      <c r="F171" s="231">
        <f t="shared" si="34"/>
        <v>0</v>
      </c>
      <c r="G171" s="231">
        <f t="shared" si="34"/>
        <v>0</v>
      </c>
      <c r="H171" s="231">
        <f t="shared" si="34"/>
        <v>0</v>
      </c>
      <c r="I171" s="231">
        <f t="shared" si="34"/>
        <v>0</v>
      </c>
      <c r="J171" s="231">
        <f t="shared" si="34"/>
        <v>0</v>
      </c>
    </row>
    <row r="172" spans="1:10" x14ac:dyDescent="0.2">
      <c r="A172" s="247"/>
      <c r="B172" s="247">
        <v>270</v>
      </c>
      <c r="C172" s="222" t="s">
        <v>224</v>
      </c>
      <c r="D172" s="222"/>
      <c r="E172" s="231">
        <f t="shared" si="34"/>
        <v>0</v>
      </c>
      <c r="F172" s="231">
        <f t="shared" si="34"/>
        <v>0</v>
      </c>
      <c r="G172" s="231">
        <f t="shared" si="34"/>
        <v>0</v>
      </c>
      <c r="H172" s="231">
        <f t="shared" si="34"/>
        <v>0</v>
      </c>
      <c r="I172" s="231">
        <f t="shared" si="34"/>
        <v>0</v>
      </c>
      <c r="J172" s="231">
        <f t="shared" si="34"/>
        <v>0</v>
      </c>
    </row>
    <row r="173" spans="1:10" x14ac:dyDescent="0.2">
      <c r="A173" s="247"/>
      <c r="B173" s="247">
        <v>272</v>
      </c>
      <c r="C173" s="222" t="s">
        <v>225</v>
      </c>
      <c r="D173" s="222"/>
      <c r="E173" s="231">
        <f t="shared" si="34"/>
        <v>0</v>
      </c>
      <c r="F173" s="231">
        <f t="shared" si="34"/>
        <v>0</v>
      </c>
      <c r="G173" s="231">
        <f t="shared" si="34"/>
        <v>0</v>
      </c>
      <c r="H173" s="231">
        <f t="shared" si="34"/>
        <v>0</v>
      </c>
      <c r="I173" s="231">
        <f t="shared" si="34"/>
        <v>0</v>
      </c>
      <c r="J173" s="231">
        <f t="shared" si="34"/>
        <v>0</v>
      </c>
    </row>
    <row r="174" spans="1:10" x14ac:dyDescent="0.2">
      <c r="A174" s="247"/>
      <c r="B174" s="247">
        <v>273</v>
      </c>
      <c r="C174" s="222" t="s">
        <v>226</v>
      </c>
      <c r="D174" s="222"/>
      <c r="E174" s="231">
        <f t="shared" si="34"/>
        <v>0</v>
      </c>
      <c r="F174" s="231">
        <f t="shared" si="34"/>
        <v>0</v>
      </c>
      <c r="G174" s="231">
        <f t="shared" si="34"/>
        <v>0</v>
      </c>
      <c r="H174" s="231">
        <f t="shared" si="34"/>
        <v>0</v>
      </c>
      <c r="I174" s="231">
        <f t="shared" si="34"/>
        <v>0</v>
      </c>
      <c r="J174" s="231">
        <f t="shared" si="34"/>
        <v>0</v>
      </c>
    </row>
    <row r="175" spans="1:10" x14ac:dyDescent="0.2">
      <c r="A175" s="247"/>
      <c r="B175" s="247">
        <v>274</v>
      </c>
      <c r="C175" s="222" t="s">
        <v>227</v>
      </c>
      <c r="D175" s="222"/>
      <c r="E175" s="231">
        <f t="shared" si="34"/>
        <v>0</v>
      </c>
      <c r="F175" s="231">
        <f t="shared" si="34"/>
        <v>0</v>
      </c>
      <c r="G175" s="231">
        <f t="shared" si="34"/>
        <v>0</v>
      </c>
      <c r="H175" s="231">
        <f t="shared" si="34"/>
        <v>0</v>
      </c>
      <c r="I175" s="231">
        <f t="shared" si="34"/>
        <v>0</v>
      </c>
      <c r="J175" s="231">
        <f t="shared" si="34"/>
        <v>0</v>
      </c>
    </row>
    <row r="176" spans="1:10" x14ac:dyDescent="0.2">
      <c r="A176" s="247"/>
      <c r="B176" s="247">
        <v>275</v>
      </c>
      <c r="C176" s="222" t="s">
        <v>228</v>
      </c>
      <c r="D176" s="222"/>
      <c r="E176" s="231">
        <f t="shared" si="34"/>
        <v>25894.82</v>
      </c>
      <c r="F176" s="231">
        <f t="shared" si="34"/>
        <v>12200</v>
      </c>
      <c r="G176" s="231">
        <f t="shared" si="34"/>
        <v>11700</v>
      </c>
      <c r="H176" s="231">
        <f t="shared" si="34"/>
        <v>12200</v>
      </c>
      <c r="I176" s="231">
        <f t="shared" si="34"/>
        <v>12200</v>
      </c>
      <c r="J176" s="231">
        <f t="shared" si="34"/>
        <v>12200</v>
      </c>
    </row>
    <row r="177" spans="1:10" x14ac:dyDescent="0.2">
      <c r="A177" s="247"/>
      <c r="B177" s="247">
        <v>276</v>
      </c>
      <c r="C177" s="222" t="s">
        <v>229</v>
      </c>
      <c r="D177" s="222"/>
      <c r="E177" s="231">
        <f t="shared" si="34"/>
        <v>0</v>
      </c>
      <c r="F177" s="231">
        <f t="shared" si="34"/>
        <v>0</v>
      </c>
      <c r="G177" s="231">
        <f t="shared" si="34"/>
        <v>0</v>
      </c>
      <c r="H177" s="231">
        <f t="shared" si="34"/>
        <v>0</v>
      </c>
      <c r="I177" s="231">
        <f t="shared" si="34"/>
        <v>0</v>
      </c>
      <c r="J177" s="231">
        <f t="shared" si="34"/>
        <v>0</v>
      </c>
    </row>
    <row r="178" spans="1:10" x14ac:dyDescent="0.2">
      <c r="A178" s="247"/>
      <c r="B178" s="247">
        <v>277</v>
      </c>
      <c r="C178" s="222" t="s">
        <v>230</v>
      </c>
      <c r="D178" s="222"/>
      <c r="E178" s="231">
        <f t="shared" ref="E178:J189" si="35">SUMIF($A$47:$A$917,$B178,E$47:E$917)</f>
        <v>0</v>
      </c>
      <c r="F178" s="231">
        <f t="shared" si="35"/>
        <v>0</v>
      </c>
      <c r="G178" s="231">
        <f t="shared" si="35"/>
        <v>0</v>
      </c>
      <c r="H178" s="231">
        <f t="shared" si="35"/>
        <v>0</v>
      </c>
      <c r="I178" s="231">
        <f t="shared" si="35"/>
        <v>0</v>
      </c>
      <c r="J178" s="231">
        <f t="shared" si="35"/>
        <v>0</v>
      </c>
    </row>
    <row r="179" spans="1:10" x14ac:dyDescent="0.2">
      <c r="A179" s="247"/>
      <c r="B179" s="247">
        <v>278</v>
      </c>
      <c r="C179" s="222" t="s">
        <v>231</v>
      </c>
      <c r="D179" s="222"/>
      <c r="E179" s="231">
        <f t="shared" si="35"/>
        <v>0</v>
      </c>
      <c r="F179" s="231">
        <f t="shared" si="35"/>
        <v>0</v>
      </c>
      <c r="G179" s="231">
        <f t="shared" si="35"/>
        <v>0</v>
      </c>
      <c r="H179" s="231">
        <f t="shared" si="35"/>
        <v>0</v>
      </c>
      <c r="I179" s="231">
        <f t="shared" si="35"/>
        <v>0</v>
      </c>
      <c r="J179" s="231">
        <f t="shared" si="35"/>
        <v>0</v>
      </c>
    </row>
    <row r="180" spans="1:10" x14ac:dyDescent="0.2">
      <c r="A180" s="247"/>
      <c r="B180" s="247">
        <v>279</v>
      </c>
      <c r="C180" s="222" t="s">
        <v>232</v>
      </c>
      <c r="D180" s="222"/>
      <c r="E180" s="231">
        <f t="shared" si="35"/>
        <v>0</v>
      </c>
      <c r="F180" s="231">
        <f t="shared" si="35"/>
        <v>0</v>
      </c>
      <c r="G180" s="231">
        <f t="shared" si="35"/>
        <v>0</v>
      </c>
      <c r="H180" s="231">
        <f t="shared" si="35"/>
        <v>0</v>
      </c>
      <c r="I180" s="231">
        <f t="shared" si="35"/>
        <v>0</v>
      </c>
      <c r="J180" s="231">
        <f t="shared" si="35"/>
        <v>0</v>
      </c>
    </row>
    <row r="181" spans="1:10" x14ac:dyDescent="0.2">
      <c r="A181" s="247"/>
      <c r="B181" s="247">
        <v>280</v>
      </c>
      <c r="C181" s="222" t="s">
        <v>233</v>
      </c>
      <c r="D181" s="222"/>
      <c r="E181" s="231">
        <f t="shared" si="35"/>
        <v>0</v>
      </c>
      <c r="F181" s="231">
        <f t="shared" si="35"/>
        <v>0</v>
      </c>
      <c r="G181" s="231">
        <f t="shared" si="35"/>
        <v>0</v>
      </c>
      <c r="H181" s="231">
        <f t="shared" si="35"/>
        <v>0</v>
      </c>
      <c r="I181" s="231">
        <f t="shared" si="35"/>
        <v>0</v>
      </c>
      <c r="J181" s="231">
        <f t="shared" si="35"/>
        <v>0</v>
      </c>
    </row>
    <row r="182" spans="1:10" x14ac:dyDescent="0.2">
      <c r="A182" s="247"/>
      <c r="B182" s="247">
        <v>281</v>
      </c>
      <c r="C182" s="222" t="s">
        <v>234</v>
      </c>
      <c r="D182" s="222"/>
      <c r="E182" s="231">
        <f t="shared" si="35"/>
        <v>0</v>
      </c>
      <c r="F182" s="231">
        <f t="shared" si="35"/>
        <v>0</v>
      </c>
      <c r="G182" s="231">
        <f t="shared" si="35"/>
        <v>0</v>
      </c>
      <c r="H182" s="231">
        <f t="shared" si="35"/>
        <v>0</v>
      </c>
      <c r="I182" s="231">
        <f t="shared" si="35"/>
        <v>0</v>
      </c>
      <c r="J182" s="231">
        <f t="shared" si="35"/>
        <v>0</v>
      </c>
    </row>
    <row r="183" spans="1:10" x14ac:dyDescent="0.2">
      <c r="A183" s="247"/>
      <c r="B183" s="247">
        <v>282</v>
      </c>
      <c r="C183" s="222" t="s">
        <v>235</v>
      </c>
      <c r="D183" s="222"/>
      <c r="E183" s="231">
        <f t="shared" si="35"/>
        <v>0</v>
      </c>
      <c r="F183" s="231">
        <f t="shared" si="35"/>
        <v>0</v>
      </c>
      <c r="G183" s="231">
        <f t="shared" si="35"/>
        <v>0</v>
      </c>
      <c r="H183" s="231">
        <f t="shared" si="35"/>
        <v>0</v>
      </c>
      <c r="I183" s="231">
        <f t="shared" si="35"/>
        <v>0</v>
      </c>
      <c r="J183" s="231">
        <f t="shared" si="35"/>
        <v>0</v>
      </c>
    </row>
    <row r="184" spans="1:10" x14ac:dyDescent="0.2">
      <c r="A184" s="247"/>
      <c r="B184" s="247">
        <v>283</v>
      </c>
      <c r="C184" s="222" t="s">
        <v>236</v>
      </c>
      <c r="D184" s="222"/>
      <c r="E184" s="231">
        <f t="shared" si="35"/>
        <v>0</v>
      </c>
      <c r="F184" s="231">
        <f t="shared" si="35"/>
        <v>0</v>
      </c>
      <c r="G184" s="231">
        <f t="shared" si="35"/>
        <v>0</v>
      </c>
      <c r="H184" s="231">
        <f t="shared" si="35"/>
        <v>0</v>
      </c>
      <c r="I184" s="231">
        <f t="shared" si="35"/>
        <v>0</v>
      </c>
      <c r="J184" s="231">
        <f t="shared" si="35"/>
        <v>0</v>
      </c>
    </row>
    <row r="185" spans="1:10" x14ac:dyDescent="0.2">
      <c r="A185" s="247"/>
      <c r="B185" s="247">
        <v>290</v>
      </c>
      <c r="C185" s="222" t="s">
        <v>238</v>
      </c>
      <c r="D185" s="222"/>
      <c r="E185" s="231">
        <f t="shared" si="35"/>
        <v>0</v>
      </c>
      <c r="F185" s="231">
        <f t="shared" si="35"/>
        <v>0</v>
      </c>
      <c r="G185" s="231">
        <f t="shared" si="35"/>
        <v>0</v>
      </c>
      <c r="H185" s="231">
        <f t="shared" si="35"/>
        <v>0</v>
      </c>
      <c r="I185" s="231">
        <f t="shared" si="35"/>
        <v>0</v>
      </c>
      <c r="J185" s="231">
        <f t="shared" si="35"/>
        <v>0</v>
      </c>
    </row>
    <row r="186" spans="1:10" x14ac:dyDescent="0.2">
      <c r="A186" s="247"/>
      <c r="B186" s="247">
        <v>292</v>
      </c>
      <c r="C186" s="222" t="s">
        <v>239</v>
      </c>
      <c r="D186" s="222"/>
      <c r="E186" s="231">
        <f t="shared" si="35"/>
        <v>0</v>
      </c>
      <c r="F186" s="231">
        <f t="shared" si="35"/>
        <v>0</v>
      </c>
      <c r="G186" s="231">
        <f t="shared" si="35"/>
        <v>0</v>
      </c>
      <c r="H186" s="231">
        <f t="shared" si="35"/>
        <v>0</v>
      </c>
      <c r="I186" s="231">
        <f t="shared" si="35"/>
        <v>0</v>
      </c>
      <c r="J186" s="231">
        <f t="shared" si="35"/>
        <v>0</v>
      </c>
    </row>
    <row r="187" spans="1:10" x14ac:dyDescent="0.2">
      <c r="A187" s="247"/>
      <c r="B187" s="247">
        <v>293</v>
      </c>
      <c r="C187" s="222" t="s">
        <v>240</v>
      </c>
      <c r="D187" s="222"/>
      <c r="E187" s="231">
        <f t="shared" si="35"/>
        <v>0</v>
      </c>
      <c r="F187" s="231">
        <f t="shared" si="35"/>
        <v>0</v>
      </c>
      <c r="G187" s="231">
        <f t="shared" si="35"/>
        <v>0</v>
      </c>
      <c r="H187" s="231">
        <f t="shared" si="35"/>
        <v>0</v>
      </c>
      <c r="I187" s="231">
        <f t="shared" si="35"/>
        <v>0</v>
      </c>
      <c r="J187" s="231">
        <f t="shared" si="35"/>
        <v>0</v>
      </c>
    </row>
    <row r="188" spans="1:10" ht="15" customHeight="1" thickBot="1" x14ac:dyDescent="0.25">
      <c r="A188" s="222"/>
      <c r="B188" s="247"/>
      <c r="C188" s="229" t="s">
        <v>818</v>
      </c>
      <c r="D188" s="240"/>
      <c r="E188" s="301">
        <f t="shared" ref="E188:J188" si="36">SUM(E146:E187)</f>
        <v>529178.82000000007</v>
      </c>
      <c r="F188" s="301">
        <f t="shared" si="36"/>
        <v>629700</v>
      </c>
      <c r="G188" s="301">
        <f t="shared" si="36"/>
        <v>524300</v>
      </c>
      <c r="H188" s="301">
        <f t="shared" si="36"/>
        <v>649200</v>
      </c>
      <c r="I188" s="301">
        <f t="shared" si="36"/>
        <v>677100</v>
      </c>
      <c r="J188" s="301">
        <f t="shared" si="36"/>
        <v>681200</v>
      </c>
    </row>
    <row r="189" spans="1:10" ht="15" thickTop="1" x14ac:dyDescent="0.2"/>
  </sheetData>
  <mergeCells count="121">
    <mergeCell ref="A112:E112"/>
    <mergeCell ref="A113:E113"/>
    <mergeCell ref="A114:E114"/>
    <mergeCell ref="A115:E115"/>
    <mergeCell ref="A116:J116"/>
    <mergeCell ref="A106:J106"/>
    <mergeCell ref="A107:E107"/>
    <mergeCell ref="A108:E108"/>
    <mergeCell ref="A109:E109"/>
    <mergeCell ref="A110:E110"/>
    <mergeCell ref="A111:J111"/>
    <mergeCell ref="A100:J100"/>
    <mergeCell ref="A101:J101"/>
    <mergeCell ref="A102:J102"/>
    <mergeCell ref="A103:J103"/>
    <mergeCell ref="A104:J104"/>
    <mergeCell ref="A105:E105"/>
    <mergeCell ref="A94:I94"/>
    <mergeCell ref="A95:J95"/>
    <mergeCell ref="A96:J96"/>
    <mergeCell ref="A97:J97"/>
    <mergeCell ref="A98:J98"/>
    <mergeCell ref="A99:J99"/>
    <mergeCell ref="A91:C91"/>
    <mergeCell ref="F91:H91"/>
    <mergeCell ref="A92:C92"/>
    <mergeCell ref="F92:H92"/>
    <mergeCell ref="A93:C93"/>
    <mergeCell ref="F93:H93"/>
    <mergeCell ref="C85:D85"/>
    <mergeCell ref="C86:D86"/>
    <mergeCell ref="A87:D87"/>
    <mergeCell ref="A88:J88"/>
    <mergeCell ref="A89:J89"/>
    <mergeCell ref="A90:C90"/>
    <mergeCell ref="F90:H90"/>
    <mergeCell ref="A83:D83"/>
    <mergeCell ref="E83:E84"/>
    <mergeCell ref="G83:G84"/>
    <mergeCell ref="H83:H84"/>
    <mergeCell ref="I83:I84"/>
    <mergeCell ref="J83:J84"/>
    <mergeCell ref="C84:D84"/>
    <mergeCell ref="B77:D77"/>
    <mergeCell ref="B78:D78"/>
    <mergeCell ref="B79:D79"/>
    <mergeCell ref="A80:D80"/>
    <mergeCell ref="A81:D81"/>
    <mergeCell ref="A82:J82"/>
    <mergeCell ref="A71:I71"/>
    <mergeCell ref="B72:D72"/>
    <mergeCell ref="B73:D73"/>
    <mergeCell ref="B74:D74"/>
    <mergeCell ref="B75:D75"/>
    <mergeCell ref="B76:D76"/>
    <mergeCell ref="A65:I65"/>
    <mergeCell ref="B66:D66"/>
    <mergeCell ref="B67:D67"/>
    <mergeCell ref="B68:D68"/>
    <mergeCell ref="B69:D69"/>
    <mergeCell ref="A70:D70"/>
    <mergeCell ref="B59:D59"/>
    <mergeCell ref="B60:D60"/>
    <mergeCell ref="A61:D61"/>
    <mergeCell ref="A62:J62"/>
    <mergeCell ref="A63:J63"/>
    <mergeCell ref="B64:D64"/>
    <mergeCell ref="A54:J54"/>
    <mergeCell ref="A55:J55"/>
    <mergeCell ref="A56:C56"/>
    <mergeCell ref="D56:J56"/>
    <mergeCell ref="A57:J57"/>
    <mergeCell ref="A58:J58"/>
    <mergeCell ref="A48:D48"/>
    <mergeCell ref="A49:J49"/>
    <mergeCell ref="A50:D50"/>
    <mergeCell ref="A51:J51"/>
    <mergeCell ref="A52:J52"/>
    <mergeCell ref="A53:D53"/>
    <mergeCell ref="C42:D42"/>
    <mergeCell ref="C43:D43"/>
    <mergeCell ref="C44:D44"/>
    <mergeCell ref="C45:D45"/>
    <mergeCell ref="C46:D46"/>
    <mergeCell ref="C47:D47"/>
    <mergeCell ref="B36:D36"/>
    <mergeCell ref="B37:D37"/>
    <mergeCell ref="B38:D38"/>
    <mergeCell ref="A39:D39"/>
    <mergeCell ref="A40:J40"/>
    <mergeCell ref="C41:D41"/>
    <mergeCell ref="A30:D30"/>
    <mergeCell ref="A31:D31"/>
    <mergeCell ref="A32:J32"/>
    <mergeCell ref="A33:J33"/>
    <mergeCell ref="B34:D34"/>
    <mergeCell ref="B35:D35"/>
    <mergeCell ref="A24:J24"/>
    <mergeCell ref="B25:D25"/>
    <mergeCell ref="A26:D26"/>
    <mergeCell ref="A27:J27"/>
    <mergeCell ref="A28:J28"/>
    <mergeCell ref="B29:D29"/>
    <mergeCell ref="A18:J18"/>
    <mergeCell ref="A19:J19"/>
    <mergeCell ref="A20:J20"/>
    <mergeCell ref="A21:J21"/>
    <mergeCell ref="A22:J22"/>
    <mergeCell ref="B23:D23"/>
    <mergeCell ref="A12:J12"/>
    <mergeCell ref="A13:J13"/>
    <mergeCell ref="A14:J14"/>
    <mergeCell ref="A15:J15"/>
    <mergeCell ref="A16:J16"/>
    <mergeCell ref="A17:J17"/>
    <mergeCell ref="A1:J1"/>
    <mergeCell ref="A2:J2"/>
    <mergeCell ref="A3:J3"/>
    <mergeCell ref="A9:J9"/>
    <mergeCell ref="A10:J10"/>
    <mergeCell ref="A11:J11"/>
  </mergeCells>
  <printOptions horizontalCentered="1"/>
  <pageMargins left="0.25" right="0.25" top="0.75" bottom="0.75" header="0.3" footer="0.3"/>
  <pageSetup fitToHeight="0" orientation="portrait" r:id="rId1"/>
  <rowBreaks count="3" manualBreakCount="3">
    <brk id="54" max="9" man="1"/>
    <brk id="94" max="9" man="1"/>
    <brk id="14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25</vt:i4>
      </vt:variant>
    </vt:vector>
  </HeadingPairs>
  <TitlesOfParts>
    <vt:vector size="48" baseType="lpstr">
      <vt:lpstr>Summary</vt:lpstr>
      <vt:lpstr>05</vt:lpstr>
      <vt:lpstr>07</vt:lpstr>
      <vt:lpstr>08</vt:lpstr>
      <vt:lpstr>09</vt:lpstr>
      <vt:lpstr>10</vt:lpstr>
      <vt:lpstr>11</vt:lpstr>
      <vt:lpstr>12</vt:lpstr>
      <vt:lpstr>13</vt:lpstr>
      <vt:lpstr>15</vt:lpstr>
      <vt:lpstr>17</vt:lpstr>
      <vt:lpstr>20</vt:lpstr>
      <vt:lpstr>30</vt:lpstr>
      <vt:lpstr>35</vt:lpstr>
      <vt:lpstr>40</vt:lpstr>
      <vt:lpstr>45</vt:lpstr>
      <vt:lpstr>Scales</vt:lpstr>
      <vt:lpstr>Chart of Accounts</vt:lpstr>
      <vt:lpstr>Establishment</vt:lpstr>
      <vt:lpstr>Appr Schdl</vt:lpstr>
      <vt:lpstr>Annex 1</vt:lpstr>
      <vt:lpstr>MTFF</vt:lpstr>
      <vt:lpstr>COFOG</vt:lpstr>
      <vt:lpstr>FCAU</vt:lpstr>
      <vt:lpstr>FIRE</vt:lpstr>
      <vt:lpstr>Police</vt:lpstr>
      <vt:lpstr>'05'!Print_Area</vt:lpstr>
      <vt:lpstr>'07'!Print_Area</vt:lpstr>
      <vt:lpstr>'08'!Print_Area</vt:lpstr>
      <vt:lpstr>'09'!Print_Area</vt:lpstr>
      <vt:lpstr>'10'!Print_Area</vt:lpstr>
      <vt:lpstr>'11'!Print_Area</vt:lpstr>
      <vt:lpstr>'13'!Print_Area</vt:lpstr>
      <vt:lpstr>'15'!Print_Area</vt:lpstr>
      <vt:lpstr>'17'!Print_Area</vt:lpstr>
      <vt:lpstr>'20'!Print_Area</vt:lpstr>
      <vt:lpstr>'30'!Print_Area</vt:lpstr>
      <vt:lpstr>'35'!Print_Area</vt:lpstr>
      <vt:lpstr>'40'!Print_Area</vt:lpstr>
      <vt:lpstr>'45'!Print_Area</vt:lpstr>
      <vt:lpstr>'Appr Schdl'!Print_Area</vt:lpstr>
      <vt:lpstr>'Chart of Accounts'!Print_Area</vt:lpstr>
      <vt:lpstr>COFOG!Print_Area</vt:lpstr>
      <vt:lpstr>Establishment!Print_Area</vt:lpstr>
      <vt:lpstr>Scales!Print_Area</vt:lpstr>
      <vt:lpstr>Summary!Print_Area</vt:lpstr>
      <vt:lpstr>Establishment!Print_Titles</vt:lpstr>
      <vt:lpstr>scale2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Fergus</dc:creator>
  <cp:lastModifiedBy>Colin Fergus</cp:lastModifiedBy>
  <dcterms:created xsi:type="dcterms:W3CDTF">2016-03-21T19:33:21Z</dcterms:created>
  <dcterms:modified xsi:type="dcterms:W3CDTF">2016-03-21T19:34:10Z</dcterms:modified>
</cp:coreProperties>
</file>